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300" windowWidth="19440" windowHeight="11460" activeTab="0"/>
  </bookViews>
  <sheets>
    <sheet name="IOM revised budget" sheetId="1" r:id="rId1"/>
    <sheet name="Expenditures 31 Oct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ESCARIZ Adriana</author>
  </authors>
  <commentList>
    <comment ref="A47" authorId="0">
      <text>
        <r>
          <rPr>
            <b/>
            <sz val="9"/>
            <rFont val="Tahoma"/>
            <family val="2"/>
          </rPr>
          <t>ESCARIZ Adriana:</t>
        </r>
        <r>
          <rPr>
            <sz val="9"/>
            <rFont val="Tahoma"/>
            <family val="2"/>
          </rPr>
          <t xml:space="preserve">
The descriptions in CGDEV lines are not clear. Will you sign an IP agreement? Pls clarify</t>
        </r>
      </text>
    </comment>
  </commentList>
</comments>
</file>

<file path=xl/sharedStrings.xml><?xml version="1.0" encoding="utf-8"?>
<sst xmlns="http://schemas.openxmlformats.org/spreadsheetml/2006/main" count="372" uniqueCount="211">
  <si>
    <t>Unit</t>
  </si>
  <si>
    <t>IOM - Joint monitoring in communities of origin (ONM, IOM, Min Agric, Min Plan) (2 communities / 1 mission a month)</t>
  </si>
  <si>
    <t>IOM - On-the-job training of ONM staff seconded to IOM (3 persons)</t>
  </si>
  <si>
    <t>IOM - Sensitization campaign</t>
  </si>
  <si>
    <t>IOM - Support to reinforcement of monitoring committee in targeted communities (1 committee per community / 3 meetings per committee)</t>
  </si>
  <si>
    <t>PTP - travel costs - monitoring (employers, consulates)</t>
  </si>
  <si>
    <t>IOM - Driver salary (2)</t>
  </si>
  <si>
    <t>IOM - Vehicle rental (2)</t>
  </si>
  <si>
    <t>IOM - Applicant registration, passport and visa processing fees</t>
  </si>
  <si>
    <t>QTY</t>
  </si>
  <si>
    <t>Duration</t>
  </si>
  <si>
    <t>Total USD</t>
  </si>
  <si>
    <t xml:space="preserve">International Staff </t>
  </si>
  <si>
    <t>Month</t>
  </si>
  <si>
    <t>National staff</t>
  </si>
  <si>
    <t>Office Costs</t>
  </si>
  <si>
    <t>Lump Sum</t>
  </si>
  <si>
    <t>Staff and Office</t>
  </si>
  <si>
    <t>Operational Costs:</t>
  </si>
  <si>
    <t>Lumpsum</t>
  </si>
  <si>
    <t xml:space="preserve">Budget Sub Total </t>
  </si>
  <si>
    <t>HQ Overhead (7%)</t>
  </si>
  <si>
    <t>BUDGET Grand Total:</t>
  </si>
  <si>
    <t>1st Tranch</t>
  </si>
  <si>
    <t>2nd Tranch</t>
  </si>
  <si>
    <t>Unit Cost USD</t>
  </si>
  <si>
    <t>Each</t>
  </si>
  <si>
    <t>1st tranche</t>
  </si>
  <si>
    <t>2nd Tranche</t>
  </si>
  <si>
    <t xml:space="preserve">IOM - Monthly meetings to facilitate coordination and information exchange between ONM, Ministry of Labor and USG consular officials </t>
  </si>
  <si>
    <t>IOM - Vehicle fuel and maintenance (2)</t>
  </si>
  <si>
    <t>Budget Amount requested:</t>
  </si>
  <si>
    <t>IOM - Workshop for labor migration stakeholders in PaP</t>
  </si>
  <si>
    <t>4 months</t>
  </si>
  <si>
    <t>10 months</t>
  </si>
  <si>
    <t>Project Type:</t>
  </si>
  <si>
    <t>IOM - Chief of Mission</t>
  </si>
  <si>
    <t>IOM - Programme Manager</t>
  </si>
  <si>
    <t>IOM - Core International Support Officials</t>
  </si>
  <si>
    <t>IOM - Project  assistant</t>
  </si>
  <si>
    <t>IOM - Labour migration assistant</t>
  </si>
  <si>
    <t>PTP - Admin</t>
  </si>
  <si>
    <t>IOM - Travel, subsistence and representation</t>
  </si>
  <si>
    <t>IOM - Communications</t>
  </si>
  <si>
    <t>IOM - Supplies</t>
  </si>
  <si>
    <t>IOM - Building</t>
  </si>
  <si>
    <t>IOM - IT equipment and maintenance</t>
  </si>
  <si>
    <t>IOM - Miscellaneous Office Costs (Security, Bank Charges etc )</t>
  </si>
  <si>
    <t>USD</t>
  </si>
  <si>
    <t>Labor Migration</t>
  </si>
  <si>
    <t>14 Months</t>
  </si>
  <si>
    <t xml:space="preserve">Project Title: </t>
  </si>
  <si>
    <t xml:space="preserve">Project Duration:  </t>
  </si>
  <si>
    <t>IOM - Community projects</t>
  </si>
  <si>
    <t>IOM - Technical support for community project development/implementation/supervision (to be specified upon identification of activities)</t>
  </si>
  <si>
    <t>Facilitation of Regular Circular Migration of Haitian Seasonal Workers to the US under the H2 Visa Program</t>
  </si>
  <si>
    <t>Sub-total (Phase 3):</t>
  </si>
  <si>
    <t>Sub-total (Phase 2):</t>
  </si>
  <si>
    <t>Staff Sub-total:</t>
  </si>
  <si>
    <t>Office Sub-total:</t>
  </si>
  <si>
    <t>Operations Sub-total:</t>
  </si>
  <si>
    <t>Sub-total(Phase 1):</t>
  </si>
  <si>
    <t>IOM - Core National Support staff</t>
  </si>
  <si>
    <t>IOM - Community mobilizer</t>
  </si>
  <si>
    <t xml:space="preserve">PTP - Building </t>
  </si>
  <si>
    <t>IOM - Joint monitoring missions of stakeholders (ONM, Min. Agric., Min Plan, Gov representative, CASEC)</t>
  </si>
  <si>
    <t xml:space="preserve">IOM - Pre-departure training of beneficiaires </t>
  </si>
  <si>
    <t>PTP - Reception for Arrival &amp; Departure of workers in the US w/ consulates</t>
  </si>
  <si>
    <t>PTP - Program Officer</t>
  </si>
  <si>
    <t xml:space="preserve">PTP - Managing Director </t>
  </si>
  <si>
    <t>IOM-Support establishment of ONM presence in the area of intervention</t>
  </si>
  <si>
    <t>PTP- Site visits to communities of origin with Employer Agents</t>
  </si>
  <si>
    <t xml:space="preserve">PTP - Airfare from USA to PaP </t>
  </si>
  <si>
    <t>PTP - Travel costs within US - Inception (identification and engagement of employers, agents, consulates)</t>
  </si>
  <si>
    <t>PTP - H2A Specialist</t>
  </si>
  <si>
    <t>IOM - labor migration trainer travel costs and DSA, PaP (international)</t>
  </si>
  <si>
    <t>Output 3: Community support and training  (Phase III)</t>
  </si>
  <si>
    <t>Output 1: Support to the establishment of a circular labor migration mechanism (Phase I)</t>
  </si>
  <si>
    <t>Output 2: Support for Regulation of Travel and Over-Seas monitoring  (Phase II)</t>
  </si>
  <si>
    <t>CGD - Senior Fellow</t>
  </si>
  <si>
    <t>CGD - DC based support staff</t>
  </si>
  <si>
    <t>CGD - PAP based RA</t>
  </si>
  <si>
    <t>CGD -Travel to and from PaP</t>
  </si>
  <si>
    <t>CGD - Hotel accommodation for PI</t>
  </si>
  <si>
    <t>CGD - Long Term accommodation for RA</t>
  </si>
  <si>
    <t>CGD- Survey costs</t>
  </si>
  <si>
    <t>IOM - Financial literacy  training upon return (4 groups, 5 days)</t>
  </si>
  <si>
    <t>LM.0257.HT10.10.01.001</t>
  </si>
  <si>
    <t>LM.0257.HT10.10.02.001</t>
  </si>
  <si>
    <t>LM.0257.HT10.10.04.001</t>
  </si>
  <si>
    <t>LM.0257.HT10.11.02.001</t>
  </si>
  <si>
    <t>LM.0257.HT10.11.02.002</t>
  </si>
  <si>
    <t>LM.0257.HT10.11.02.003</t>
  </si>
  <si>
    <t>LM.0257.HT10.11.04.001</t>
  </si>
  <si>
    <t>LM.0257.HT10.12.02.001</t>
  </si>
  <si>
    <t>LM.0257.HT10.12.03.001</t>
  </si>
  <si>
    <t>LM.0257.HT10.12.08.001</t>
  </si>
  <si>
    <t>LM.0257.HT10.12.01.001</t>
  </si>
  <si>
    <t>LM.0257.HT10.12.10.001</t>
  </si>
  <si>
    <t>LM.0257.HT10.60.05.001</t>
  </si>
  <si>
    <t>LM.0257.HT10.60.05.002</t>
  </si>
  <si>
    <t>LM.0257.HT10.60.05.003</t>
  </si>
  <si>
    <t>LM.0257.HT10.60.05.004</t>
  </si>
  <si>
    <t>LM.0257.HT10.60.05.005</t>
  </si>
  <si>
    <t>LM.0257.HT10.60.05.006</t>
  </si>
  <si>
    <t>LM.0257.HT10.60.05.007</t>
  </si>
  <si>
    <t>LM.0257.HT10.60.05.008</t>
  </si>
  <si>
    <t>LM.0257.HT10.60.05.009</t>
  </si>
  <si>
    <t>LM.0257.HT10.60.05.010</t>
  </si>
  <si>
    <t>LM.0257.HT10.60.05.011</t>
  </si>
  <si>
    <t>LM.0257.HT10.60.05.012</t>
  </si>
  <si>
    <t>LM.0257.HT10.60.05.013</t>
  </si>
  <si>
    <t>LM.0257.HT10.60.05.014</t>
  </si>
  <si>
    <t>LM.0257.HT10.60.05.015</t>
  </si>
  <si>
    <t>LM.0257.HT10.60.05.016</t>
  </si>
  <si>
    <t>LM.0257.HT10.60.05.017</t>
  </si>
  <si>
    <t>LM.0257.HT10.60.05.018</t>
  </si>
  <si>
    <t>LM.0257.HT10.60.05.019</t>
  </si>
  <si>
    <t>LM.0257.HT10.60.05.020</t>
  </si>
  <si>
    <t>LM.0257.HT10.60.05.021</t>
  </si>
  <si>
    <t>LM.0257.HT10.60.05.022</t>
  </si>
  <si>
    <t>LM.0257.HT10.60.05.023</t>
  </si>
  <si>
    <t>LM.0257.HT10.60.05.024</t>
  </si>
  <si>
    <t>LM.0257.HT10.60.05.025</t>
  </si>
  <si>
    <t>LM.0257.HT10.60.05.026</t>
  </si>
  <si>
    <t>LM.0257.HT10.60.05.027</t>
  </si>
  <si>
    <t>LM.0257.HT10.60.05.028</t>
  </si>
  <si>
    <t>LM.0257.HT10.60.05.029</t>
  </si>
  <si>
    <t>LM.0257.HT10.60.05.030</t>
  </si>
  <si>
    <t>LM.0257.HT10.60.05.031</t>
  </si>
  <si>
    <t>LM.0257.HT10.60.05.032</t>
  </si>
  <si>
    <t>LM.0257.HT10.60.05.033</t>
  </si>
  <si>
    <t>LM.0257.HT10.11.02.004</t>
  </si>
  <si>
    <t>LM.0257.HT10.12.05.001</t>
  </si>
  <si>
    <t>Expenditure 31 October</t>
  </si>
  <si>
    <t>Expenditure Nov 14</t>
  </si>
  <si>
    <t>Estimation for Dec 2014</t>
  </si>
  <si>
    <t>04.12.2014                                                              Dynamic List Display                                                                      1</t>
  </si>
  <si>
    <t>Project Monitoring Report</t>
  </si>
  <si>
    <t>Project</t>
  </si>
  <si>
    <t>LM.0257</t>
  </si>
  <si>
    <t>Period:</t>
  </si>
  <si>
    <t>Currency:</t>
  </si>
  <si>
    <t>WBS level:</t>
  </si>
  <si>
    <t>Date &amp; Time:04.12.2014-15.13.44</t>
  </si>
  <si>
    <t>User Name:MCOLIC</t>
  </si>
  <si>
    <t>Mission</t>
  </si>
  <si>
    <t xml:space="preserve">                WBS</t>
  </si>
  <si>
    <t>Level</t>
  </si>
  <si>
    <t>Text Description of the WBS</t>
  </si>
  <si>
    <t xml:space="preserve">   Expenses</t>
  </si>
  <si>
    <t>Commitment</t>
  </si>
  <si>
    <t>EXPENDITURES</t>
  </si>
  <si>
    <t>Variance Amt</t>
  </si>
  <si>
    <t>% Variance</t>
  </si>
  <si>
    <t>HT10</t>
  </si>
  <si>
    <t>IOM - Core Int'l Support Officials</t>
  </si>
  <si>
    <t>IOM - Driver Salary</t>
  </si>
  <si>
    <t>IOM - Travel, Subsistence and Repr.</t>
  </si>
  <si>
    <t>IOM - IT Equipment and Maintenance</t>
  </si>
  <si>
    <t>IOM - Misc_Office Costs (Sec, Bank Chg)</t>
  </si>
  <si>
    <t>PTP - Managing Director</t>
  </si>
  <si>
    <t>PTP - Administration</t>
  </si>
  <si>
    <t>PTP - Building</t>
  </si>
  <si>
    <t>IOM - Workshop Labor Migr. StakeHolders</t>
  </si>
  <si>
    <t>PTP - Airfare from USA to PaP</t>
  </si>
  <si>
    <t>PTP - Travel costs within US - Inception</t>
  </si>
  <si>
    <t>PTP- Site visits to communities Origin</t>
  </si>
  <si>
    <t>CGD - Travel to and from PaP</t>
  </si>
  <si>
    <t>CGD- Survey Costs</t>
  </si>
  <si>
    <t>IOM - Sensitization Campaign</t>
  </si>
  <si>
    <t>IOM - Job Training of ONM Staff Seconded</t>
  </si>
  <si>
    <t>IOM - Vehicle Rental</t>
  </si>
  <si>
    <t>IOM - Vehicle Fuel &amp; Maintenance</t>
  </si>
  <si>
    <t>IOM - Applicant Registr, Passport &amp; Visa</t>
  </si>
  <si>
    <t>IOM - Monthly Meetings for Coordination</t>
  </si>
  <si>
    <t>IOM - Labor Migr. Trainer Travel Cost</t>
  </si>
  <si>
    <t>IOM-Joint Monitoring Communities Origin</t>
  </si>
  <si>
    <t>IOM - Support to Reinforc. of Monitoring</t>
  </si>
  <si>
    <t>IOM-Support Establishment of ONM Presenc</t>
  </si>
  <si>
    <t>IOM - Pre-Departure Training Beneficiari</t>
  </si>
  <si>
    <t>PTP - Reception for Arrival &amp; Departure</t>
  </si>
  <si>
    <t>PTP - Travel Costs - Monitoring</t>
  </si>
  <si>
    <t>IOM - Community Projects</t>
  </si>
  <si>
    <t>IOM - Technical Support Community Projec</t>
  </si>
  <si>
    <t>IOM - Financial Literacy Training</t>
  </si>
  <si>
    <t>IOM - Joint Monitor Missions StakeHolder</t>
  </si>
  <si>
    <t>MISSION TOTAL</t>
  </si>
  <si>
    <t>OVERHEAD ALL MISSIONS</t>
  </si>
  <si>
    <t>GRAND TOTAL</t>
  </si>
  <si>
    <t>Commitments</t>
  </si>
  <si>
    <t>TOTAL costs</t>
  </si>
  <si>
    <t>PTP- Monitoring Officer</t>
  </si>
  <si>
    <t>PTP - Communication</t>
  </si>
  <si>
    <t>PTP - Equipment (laptop, Pinter, Ink Cartridges)</t>
  </si>
  <si>
    <t>PTP - Supplies</t>
  </si>
  <si>
    <t>Output 4: Educational Exchange</t>
  </si>
  <si>
    <t>PTP - US Travel - Flights and Van rental (DC,NY,VA,ID,CA,FL)</t>
  </si>
  <si>
    <t>PTP - Meals and  accommodation (DC,NY,VA,ID,CA,FL)</t>
  </si>
  <si>
    <t>PTP - Equipment</t>
  </si>
  <si>
    <t>IOM - Visas</t>
  </si>
  <si>
    <t>IOM - Programme Officer</t>
  </si>
  <si>
    <t>5 months</t>
  </si>
  <si>
    <t>IOM - International Flights (travel to USA)</t>
  </si>
  <si>
    <t>TOTAL REVISED  budget</t>
  </si>
  <si>
    <t>IOM - Contingency</t>
  </si>
  <si>
    <t>11 months</t>
  </si>
  <si>
    <t>BUDGET for period 1 JAN - 30 NOV 2015</t>
  </si>
  <si>
    <t>Budget vs actual, Phase I</t>
  </si>
  <si>
    <t>Change in plans, Phase II</t>
  </si>
  <si>
    <t>Overall change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</si>
</sst>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mmm\-yy;@"/>
    <numFmt numFmtId="185" formatCode="_(* #,##0_);_(* \(#,##0\);_(* &quot;-&quot;??_);_(@_)"/>
    <numFmt numFmtId="186" formatCode="#,##0;[Red]\(#,##0\)"/>
    <numFmt numFmtId="187" formatCode="#,##0;[Red]#,##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0.0%"/>
    <numFmt numFmtId="197" formatCode="_(* #,##0.0_);_(* \(#,##0.0\);_(* &quot;-&quot;?_);_(@_)"/>
    <numFmt numFmtId="198" formatCode="&quot;$&quot;#,##0"/>
    <numFmt numFmtId="199" formatCode="0.0"/>
    <numFmt numFmtId="200" formatCode="_-* #,##0\ _€_-;\-* #,##0\ _€_-;_-* &quot;-&quot;??\ _€_-;_-@_-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/>
    </xf>
    <xf numFmtId="187" fontId="7" fillId="33" borderId="11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87" fontId="4" fillId="33" borderId="12" xfId="0" applyNumberFormat="1" applyFont="1" applyFill="1" applyBorder="1" applyAlignment="1">
      <alignment horizontal="center" vertical="center" wrapText="1"/>
    </xf>
    <xf numFmtId="187" fontId="6" fillId="34" borderId="13" xfId="0" applyNumberFormat="1" applyFont="1" applyFill="1" applyBorder="1" applyAlignment="1">
      <alignment/>
    </xf>
    <xf numFmtId="187" fontId="5" fillId="34" borderId="14" xfId="0" applyNumberFormat="1" applyFont="1" applyFill="1" applyBorder="1" applyAlignment="1">
      <alignment horizontal="right"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87" fontId="5" fillId="34" borderId="15" xfId="0" applyNumberFormat="1" applyFont="1" applyFill="1" applyBorder="1" applyAlignment="1">
      <alignment horizontal="right"/>
    </xf>
    <xf numFmtId="187" fontId="8" fillId="0" borderId="16" xfId="0" applyNumberFormat="1" applyFont="1" applyFill="1" applyBorder="1" applyAlignment="1">
      <alignment/>
    </xf>
    <xf numFmtId="187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7" fontId="5" fillId="0" borderId="18" xfId="0" applyNumberFormat="1" applyFont="1" applyFill="1" applyBorder="1" applyAlignment="1">
      <alignment horizontal="right"/>
    </xf>
    <xf numFmtId="187" fontId="6" fillId="0" borderId="19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right"/>
    </xf>
    <xf numFmtId="187" fontId="6" fillId="0" borderId="19" xfId="0" applyNumberFormat="1" applyFont="1" applyFill="1" applyBorder="1" applyAlignment="1">
      <alignment wrapText="1"/>
    </xf>
    <xf numFmtId="187" fontId="4" fillId="0" borderId="19" xfId="0" applyNumberFormat="1" applyFont="1" applyFill="1" applyBorder="1" applyAlignment="1">
      <alignment/>
    </xf>
    <xf numFmtId="187" fontId="4" fillId="33" borderId="21" xfId="0" applyNumberFormat="1" applyFont="1" applyFill="1" applyBorder="1" applyAlignment="1">
      <alignment horizontal="right"/>
    </xf>
    <xf numFmtId="187" fontId="5" fillId="0" borderId="19" xfId="0" applyNumberFormat="1" applyFont="1" applyFill="1" applyBorder="1" applyAlignment="1">
      <alignment/>
    </xf>
    <xf numFmtId="187" fontId="4" fillId="0" borderId="20" xfId="0" applyNumberFormat="1" applyFont="1" applyFill="1" applyBorder="1" applyAlignment="1">
      <alignment horizontal="right"/>
    </xf>
    <xf numFmtId="187" fontId="8" fillId="0" borderId="19" xfId="0" applyNumberFormat="1" applyFont="1" applyFill="1" applyBorder="1" applyAlignment="1">
      <alignment/>
    </xf>
    <xf numFmtId="187" fontId="5" fillId="0" borderId="19" xfId="0" applyNumberFormat="1" applyFont="1" applyFill="1" applyBorder="1" applyAlignment="1">
      <alignment horizontal="left" wrapText="1"/>
    </xf>
    <xf numFmtId="187" fontId="4" fillId="34" borderId="11" xfId="0" applyNumberFormat="1" applyFont="1" applyFill="1" applyBorder="1" applyAlignment="1">
      <alignment/>
    </xf>
    <xf numFmtId="187" fontId="4" fillId="34" borderId="22" xfId="0" applyNumberFormat="1" applyFont="1" applyFill="1" applyBorder="1" applyAlignment="1">
      <alignment horizontal="left"/>
    </xf>
    <xf numFmtId="2" fontId="5" fillId="34" borderId="22" xfId="0" applyNumberFormat="1" applyFont="1" applyFill="1" applyBorder="1" applyAlignment="1">
      <alignment horizontal="center"/>
    </xf>
    <xf numFmtId="1" fontId="5" fillId="34" borderId="22" xfId="0" applyNumberFormat="1" applyFont="1" applyFill="1" applyBorder="1" applyAlignment="1">
      <alignment horizontal="center"/>
    </xf>
    <xf numFmtId="187" fontId="4" fillId="34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187" fontId="4" fillId="35" borderId="0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187" fontId="4" fillId="35" borderId="20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2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9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99" fontId="5" fillId="3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3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187" fontId="8" fillId="0" borderId="13" xfId="0" applyNumberFormat="1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187" fontId="5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87" fontId="6" fillId="0" borderId="20" xfId="0" applyNumberFormat="1" applyFont="1" applyFill="1" applyBorder="1" applyAlignment="1">
      <alignment/>
    </xf>
    <xf numFmtId="187" fontId="5" fillId="35" borderId="0" xfId="0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2" fontId="5" fillId="35" borderId="0" xfId="0" applyNumberFormat="1" applyFont="1" applyFill="1" applyBorder="1" applyAlignment="1">
      <alignment horizontal="center"/>
    </xf>
    <xf numFmtId="0" fontId="9" fillId="35" borderId="19" xfId="0" applyFont="1" applyFill="1" applyBorder="1" applyAlignment="1">
      <alignment wrapText="1"/>
    </xf>
    <xf numFmtId="187" fontId="10" fillId="35" borderId="20" xfId="0" applyNumberFormat="1" applyFont="1" applyFill="1" applyBorder="1" applyAlignment="1">
      <alignment horizontal="right"/>
    </xf>
    <xf numFmtId="0" fontId="9" fillId="35" borderId="19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6" fillId="32" borderId="20" xfId="0" applyNumberFormat="1" applyFont="1" applyFill="1" applyBorder="1" applyAlignment="1">
      <alignment horizontal="center"/>
    </xf>
    <xf numFmtId="187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87" fontId="4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187" fontId="4" fillId="0" borderId="26" xfId="0" applyNumberFormat="1" applyFont="1" applyFill="1" applyBorder="1" applyAlignment="1">
      <alignment horizontal="right" wrapText="1"/>
    </xf>
    <xf numFmtId="0" fontId="4" fillId="0" borderId="26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187" fontId="4" fillId="33" borderId="28" xfId="0" applyNumberFormat="1" applyFont="1" applyFill="1" applyBorder="1" applyAlignment="1">
      <alignment horizontal="right"/>
    </xf>
    <xf numFmtId="187" fontId="10" fillId="33" borderId="21" xfId="0" applyNumberFormat="1" applyFont="1" applyFill="1" applyBorder="1" applyAlignment="1">
      <alignment horizontal="right"/>
    </xf>
    <xf numFmtId="187" fontId="10" fillId="33" borderId="28" xfId="0" applyNumberFormat="1" applyFont="1" applyFill="1" applyBorder="1" applyAlignment="1">
      <alignment horizontal="right"/>
    </xf>
    <xf numFmtId="187" fontId="5" fillId="33" borderId="21" xfId="0" applyNumberFormat="1" applyFont="1" applyFill="1" applyBorder="1" applyAlignment="1">
      <alignment horizontal="right"/>
    </xf>
    <xf numFmtId="187" fontId="9" fillId="0" borderId="19" xfId="0" applyNumberFormat="1" applyFont="1" applyFill="1" applyBorder="1" applyAlignment="1">
      <alignment/>
    </xf>
    <xf numFmtId="187" fontId="5" fillId="0" borderId="19" xfId="0" applyNumberFormat="1" applyFont="1" applyFill="1" applyBorder="1" applyAlignment="1">
      <alignment horizontal="right"/>
    </xf>
    <xf numFmtId="0" fontId="6" fillId="35" borderId="19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187" fontId="4" fillId="36" borderId="0" xfId="0" applyNumberFormat="1" applyFont="1" applyFill="1" applyBorder="1" applyAlignment="1">
      <alignment horizontal="right"/>
    </xf>
    <xf numFmtId="187" fontId="5" fillId="36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2" fontId="4" fillId="36" borderId="0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187" fontId="6" fillId="0" borderId="2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19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187" fontId="4" fillId="0" borderId="16" xfId="0" applyNumberFormat="1" applyFont="1" applyFill="1" applyBorder="1" applyAlignment="1">
      <alignment horizontal="right"/>
    </xf>
    <xf numFmtId="187" fontId="5" fillId="0" borderId="30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43" fontId="5" fillId="0" borderId="18" xfId="42" applyFont="1" applyFill="1" applyBorder="1" applyAlignment="1">
      <alignment horizontal="right"/>
    </xf>
    <xf numFmtId="43" fontId="5" fillId="0" borderId="20" xfId="42" applyFont="1" applyFill="1" applyBorder="1" applyAlignment="1">
      <alignment horizontal="right"/>
    </xf>
    <xf numFmtId="43" fontId="4" fillId="34" borderId="11" xfId="42" applyFont="1" applyFill="1" applyBorder="1" applyAlignment="1">
      <alignment horizontal="right"/>
    </xf>
    <xf numFmtId="43" fontId="5" fillId="0" borderId="19" xfId="42" applyFont="1" applyFill="1" applyBorder="1" applyAlignment="1">
      <alignment horizontal="right"/>
    </xf>
    <xf numFmtId="43" fontId="4" fillId="0" borderId="19" xfId="42" applyFont="1" applyFill="1" applyBorder="1" applyAlignment="1">
      <alignment horizontal="right"/>
    </xf>
    <xf numFmtId="43" fontId="6" fillId="0" borderId="19" xfId="42" applyFont="1" applyFill="1" applyBorder="1" applyAlignment="1">
      <alignment horizontal="right"/>
    </xf>
    <xf numFmtId="43" fontId="10" fillId="33" borderId="31" xfId="42" applyFont="1" applyFill="1" applyBorder="1" applyAlignment="1">
      <alignment horizontal="right"/>
    </xf>
    <xf numFmtId="43" fontId="10" fillId="35" borderId="19" xfId="42" applyFont="1" applyFill="1" applyBorder="1" applyAlignment="1">
      <alignment horizontal="right"/>
    </xf>
    <xf numFmtId="43" fontId="4" fillId="33" borderId="31" xfId="42" applyFont="1" applyFill="1" applyBorder="1" applyAlignment="1">
      <alignment horizontal="right"/>
    </xf>
    <xf numFmtId="43" fontId="4" fillId="35" borderId="19" xfId="42" applyFont="1" applyFill="1" applyBorder="1" applyAlignment="1">
      <alignment horizontal="right"/>
    </xf>
    <xf numFmtId="43" fontId="4" fillId="0" borderId="19" xfId="42" applyFont="1" applyFill="1" applyBorder="1" applyAlignment="1">
      <alignment/>
    </xf>
    <xf numFmtId="43" fontId="4" fillId="34" borderId="11" xfId="42" applyFont="1" applyFill="1" applyBorder="1" applyAlignment="1">
      <alignment/>
    </xf>
    <xf numFmtId="43" fontId="4" fillId="33" borderId="11" xfId="42" applyFont="1" applyFill="1" applyBorder="1" applyAlignment="1">
      <alignment/>
    </xf>
    <xf numFmtId="17" fontId="0" fillId="0" borderId="0" xfId="0" applyNumberFormat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87" fontId="5" fillId="34" borderId="13" xfId="0" applyNumberFormat="1" applyFont="1" applyFill="1" applyBorder="1" applyAlignment="1">
      <alignment horizontal="right"/>
    </xf>
    <xf numFmtId="43" fontId="5" fillId="0" borderId="16" xfId="42" applyFont="1" applyFill="1" applyBorder="1" applyAlignment="1">
      <alignment horizontal="right"/>
    </xf>
    <xf numFmtId="0" fontId="5" fillId="37" borderId="14" xfId="0" applyFont="1" applyFill="1" applyBorder="1" applyAlignment="1">
      <alignment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43" fontId="5" fillId="37" borderId="18" xfId="42" applyFont="1" applyFill="1" applyBorder="1" applyAlignment="1">
      <alignment horizontal="right"/>
    </xf>
    <xf numFmtId="43" fontId="5" fillId="37" borderId="20" xfId="42" applyFont="1" applyFill="1" applyBorder="1" applyAlignment="1">
      <alignment horizontal="right"/>
    </xf>
    <xf numFmtId="43" fontId="4" fillId="37" borderId="20" xfId="42" applyFont="1" applyFill="1" applyBorder="1" applyAlignment="1">
      <alignment horizontal="right"/>
    </xf>
    <xf numFmtId="43" fontId="4" fillId="37" borderId="20" xfId="42" applyFont="1" applyFill="1" applyBorder="1" applyAlignment="1">
      <alignment/>
    </xf>
    <xf numFmtId="0" fontId="5" fillId="37" borderId="0" xfId="0" applyFont="1" applyFill="1" applyAlignment="1">
      <alignment/>
    </xf>
    <xf numFmtId="187" fontId="9" fillId="37" borderId="0" xfId="0" applyNumberFormat="1" applyFont="1" applyFill="1" applyBorder="1" applyAlignment="1">
      <alignment horizontal="right"/>
    </xf>
    <xf numFmtId="43" fontId="10" fillId="37" borderId="19" xfId="42" applyFont="1" applyFill="1" applyBorder="1" applyAlignment="1">
      <alignment horizontal="right"/>
    </xf>
    <xf numFmtId="187" fontId="5" fillId="37" borderId="20" xfId="0" applyNumberFormat="1" applyFont="1" applyFill="1" applyBorder="1" applyAlignment="1">
      <alignment horizontal="right"/>
    </xf>
    <xf numFmtId="187" fontId="10" fillId="37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6" fillId="33" borderId="12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/>
    </xf>
    <xf numFmtId="43" fontId="6" fillId="33" borderId="31" xfId="42" applyFont="1" applyFill="1" applyBorder="1" applyAlignment="1">
      <alignment horizontal="right"/>
    </xf>
    <xf numFmtId="0" fontId="0" fillId="0" borderId="19" xfId="0" applyFont="1" applyBorder="1" applyAlignment="1">
      <alignment/>
    </xf>
    <xf numFmtId="43" fontId="6" fillId="34" borderId="11" xfId="42" applyFont="1" applyFill="1" applyBorder="1" applyAlignment="1">
      <alignment horizontal="right"/>
    </xf>
    <xf numFmtId="43" fontId="5" fillId="33" borderId="31" xfId="42" applyFont="1" applyFill="1" applyBorder="1" applyAlignment="1">
      <alignment horizontal="right"/>
    </xf>
    <xf numFmtId="43" fontId="5" fillId="35" borderId="19" xfId="42" applyFont="1" applyFill="1" applyBorder="1" applyAlignment="1">
      <alignment horizontal="right"/>
    </xf>
    <xf numFmtId="43" fontId="6" fillId="35" borderId="19" xfId="42" applyFont="1" applyFill="1" applyBorder="1" applyAlignment="1">
      <alignment horizontal="right"/>
    </xf>
    <xf numFmtId="43" fontId="5" fillId="37" borderId="19" xfId="42" applyFont="1" applyFill="1" applyBorder="1" applyAlignment="1">
      <alignment horizontal="right"/>
    </xf>
    <xf numFmtId="43" fontId="6" fillId="0" borderId="19" xfId="42" applyFont="1" applyFill="1" applyBorder="1" applyAlignment="1">
      <alignment/>
    </xf>
    <xf numFmtId="43" fontId="6" fillId="0" borderId="26" xfId="42" applyFont="1" applyFill="1" applyBorder="1" applyAlignment="1">
      <alignment/>
    </xf>
    <xf numFmtId="43" fontId="6" fillId="34" borderId="11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3" fontId="5" fillId="37" borderId="0" xfId="0" applyNumberFormat="1" applyFont="1" applyFill="1" applyAlignment="1">
      <alignment/>
    </xf>
    <xf numFmtId="43" fontId="5" fillId="0" borderId="26" xfId="42" applyFont="1" applyFill="1" applyBorder="1" applyAlignment="1">
      <alignment horizontal="right"/>
    </xf>
    <xf numFmtId="43" fontId="6" fillId="33" borderId="32" xfId="42" applyFont="1" applyFill="1" applyBorder="1" applyAlignment="1">
      <alignment horizontal="right"/>
    </xf>
    <xf numFmtId="43" fontId="6" fillId="0" borderId="26" xfId="42" applyFont="1" applyFill="1" applyBorder="1" applyAlignment="1">
      <alignment horizontal="right"/>
    </xf>
    <xf numFmtId="43" fontId="5" fillId="0" borderId="13" xfId="42" applyFont="1" applyFill="1" applyBorder="1" applyAlignment="1">
      <alignment horizontal="right"/>
    </xf>
    <xf numFmtId="43" fontId="6" fillId="33" borderId="33" xfId="42" applyFont="1" applyFill="1" applyBorder="1" applyAlignment="1">
      <alignment horizontal="right"/>
    </xf>
    <xf numFmtId="43" fontId="5" fillId="33" borderId="32" xfId="42" applyFont="1" applyFill="1" applyBorder="1" applyAlignment="1">
      <alignment horizontal="right"/>
    </xf>
    <xf numFmtId="43" fontId="5" fillId="35" borderId="26" xfId="42" applyFont="1" applyFill="1" applyBorder="1" applyAlignment="1">
      <alignment horizontal="right"/>
    </xf>
    <xf numFmtId="43" fontId="6" fillId="35" borderId="26" xfId="42" applyFont="1" applyFill="1" applyBorder="1" applyAlignment="1">
      <alignment horizontal="right"/>
    </xf>
    <xf numFmtId="43" fontId="5" fillId="37" borderId="26" xfId="42" applyFont="1" applyFill="1" applyBorder="1" applyAlignment="1">
      <alignment horizontal="right"/>
    </xf>
    <xf numFmtId="43" fontId="6" fillId="34" borderId="12" xfId="42" applyFont="1" applyFill="1" applyBorder="1" applyAlignment="1">
      <alignment/>
    </xf>
    <xf numFmtId="43" fontId="6" fillId="33" borderId="12" xfId="42" applyFont="1" applyFill="1" applyBorder="1" applyAlignment="1">
      <alignment/>
    </xf>
    <xf numFmtId="43" fontId="6" fillId="0" borderId="13" xfId="42" applyFont="1" applyFill="1" applyBorder="1" applyAlignment="1">
      <alignment horizontal="right"/>
    </xf>
    <xf numFmtId="0" fontId="6" fillId="37" borderId="19" xfId="0" applyFont="1" applyFill="1" applyBorder="1" applyAlignment="1">
      <alignment wrapText="1"/>
    </xf>
    <xf numFmtId="187" fontId="6" fillId="37" borderId="0" xfId="0" applyNumberFormat="1" applyFont="1" applyFill="1" applyBorder="1" applyAlignment="1">
      <alignment horizontal="right"/>
    </xf>
    <xf numFmtId="1" fontId="6" fillId="37" borderId="0" xfId="0" applyNumberFormat="1" applyFont="1" applyFill="1" applyBorder="1" applyAlignment="1">
      <alignment horizontal="center"/>
    </xf>
    <xf numFmtId="43" fontId="6" fillId="37" borderId="19" xfId="42" applyFont="1" applyFill="1" applyBorder="1" applyAlignment="1">
      <alignment horizontal="right"/>
    </xf>
    <xf numFmtId="187" fontId="6" fillId="37" borderId="20" xfId="0" applyNumberFormat="1" applyFont="1" applyFill="1" applyBorder="1" applyAlignment="1">
      <alignment horizontal="right"/>
    </xf>
    <xf numFmtId="4" fontId="0" fillId="37" borderId="19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0" fontId="6" fillId="37" borderId="1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4" fillId="37" borderId="0" xfId="0" applyFont="1" applyFill="1" applyAlignment="1">
      <alignment/>
    </xf>
    <xf numFmtId="4" fontId="0" fillId="38" borderId="0" xfId="0" applyNumberFormat="1" applyFill="1" applyAlignment="1">
      <alignment/>
    </xf>
    <xf numFmtId="43" fontId="6" fillId="0" borderId="20" xfId="42" applyFont="1" applyFill="1" applyBorder="1" applyAlignment="1">
      <alignment horizontal="right"/>
    </xf>
    <xf numFmtId="1" fontId="5" fillId="37" borderId="0" xfId="0" applyNumberFormat="1" applyFont="1" applyFill="1" applyBorder="1" applyAlignment="1">
      <alignment horizontal="center"/>
    </xf>
    <xf numFmtId="187" fontId="6" fillId="37" borderId="0" xfId="0" applyNumberFormat="1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" fontId="0" fillId="37" borderId="26" xfId="0" applyNumberFormat="1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43" fontId="5" fillId="0" borderId="15" xfId="42" applyFont="1" applyFill="1" applyBorder="1" applyAlignment="1">
      <alignment horizontal="right"/>
    </xf>
    <xf numFmtId="4" fontId="0" fillId="37" borderId="20" xfId="0" applyNumberFormat="1" applyFont="1" applyFill="1" applyBorder="1" applyAlignment="1">
      <alignment/>
    </xf>
    <xf numFmtId="43" fontId="5" fillId="33" borderId="21" xfId="42" applyFont="1" applyFill="1" applyBorder="1" applyAlignment="1">
      <alignment horizontal="right"/>
    </xf>
    <xf numFmtId="43" fontId="6" fillId="33" borderId="21" xfId="42" applyFont="1" applyFill="1" applyBorder="1" applyAlignment="1">
      <alignment horizontal="right"/>
    </xf>
    <xf numFmtId="43" fontId="6" fillId="35" borderId="20" xfId="42" applyFont="1" applyFill="1" applyBorder="1" applyAlignment="1">
      <alignment horizontal="right"/>
    </xf>
    <xf numFmtId="43" fontId="6" fillId="0" borderId="20" xfId="42" applyFont="1" applyFill="1" applyBorder="1" applyAlignment="1">
      <alignment/>
    </xf>
    <xf numFmtId="43" fontId="6" fillId="34" borderId="23" xfId="42" applyFont="1" applyFill="1" applyBorder="1" applyAlignment="1">
      <alignment/>
    </xf>
    <xf numFmtId="43" fontId="6" fillId="33" borderId="23" xfId="42" applyFont="1" applyFill="1" applyBorder="1" applyAlignment="1">
      <alignment/>
    </xf>
    <xf numFmtId="4" fontId="0" fillId="0" borderId="19" xfId="0" applyNumberFormat="1" applyBorder="1" applyAlignment="1">
      <alignment/>
    </xf>
    <xf numFmtId="187" fontId="4" fillId="37" borderId="2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4" fontId="0" fillId="37" borderId="19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3" fontId="4" fillId="0" borderId="24" xfId="42" applyFont="1" applyFill="1" applyBorder="1" applyAlignment="1">
      <alignment horizontal="right"/>
    </xf>
    <xf numFmtId="43" fontId="4" fillId="0" borderId="14" xfId="42" applyFont="1" applyFill="1" applyBorder="1" applyAlignment="1">
      <alignment horizontal="right"/>
    </xf>
    <xf numFmtId="43" fontId="5" fillId="0" borderId="0" xfId="42" applyFont="1" applyFill="1" applyBorder="1" applyAlignment="1">
      <alignment horizontal="right"/>
    </xf>
    <xf numFmtId="187" fontId="5" fillId="0" borderId="26" xfId="0" applyNumberFormat="1" applyFont="1" applyFill="1" applyBorder="1" applyAlignment="1">
      <alignment horizontal="right"/>
    </xf>
    <xf numFmtId="187" fontId="6" fillId="0" borderId="26" xfId="0" applyNumberFormat="1" applyFont="1" applyFill="1" applyBorder="1" applyAlignment="1">
      <alignment horizontal="right"/>
    </xf>
    <xf numFmtId="43" fontId="4" fillId="0" borderId="26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187" fontId="6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10" fillId="0" borderId="26" xfId="42" applyFont="1" applyFill="1" applyBorder="1" applyAlignment="1">
      <alignment horizontal="right"/>
    </xf>
    <xf numFmtId="43" fontId="10" fillId="0" borderId="0" xfId="42" applyFont="1" applyFill="1" applyBorder="1" applyAlignment="1">
      <alignment horizontal="right"/>
    </xf>
    <xf numFmtId="43" fontId="5" fillId="0" borderId="27" xfId="42" applyFont="1" applyFill="1" applyBorder="1" applyAlignment="1">
      <alignment horizontal="right"/>
    </xf>
    <xf numFmtId="43" fontId="5" fillId="0" borderId="10" xfId="42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187" fontId="6" fillId="36" borderId="12" xfId="0" applyNumberFormat="1" applyFont="1" applyFill="1" applyBorder="1" applyAlignment="1">
      <alignment horizontal="center" vertical="center" wrapText="1"/>
    </xf>
    <xf numFmtId="187" fontId="4" fillId="36" borderId="11" xfId="0" applyNumberFormat="1" applyFont="1" applyFill="1" applyBorder="1" applyAlignment="1">
      <alignment horizont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87" fontId="4" fillId="36" borderId="12" xfId="0" applyNumberFormat="1" applyFont="1" applyFill="1" applyBorder="1" applyAlignment="1">
      <alignment horizontal="center" vertical="center" wrapText="1"/>
    </xf>
    <xf numFmtId="187" fontId="3" fillId="36" borderId="12" xfId="0" applyNumberFormat="1" applyFont="1" applyFill="1" applyBorder="1" applyAlignment="1">
      <alignment horizontal="center" vertical="center" wrapText="1"/>
    </xf>
    <xf numFmtId="187" fontId="5" fillId="39" borderId="15" xfId="0" applyNumberFormat="1" applyFont="1" applyFill="1" applyBorder="1" applyAlignment="1">
      <alignment horizontal="right"/>
    </xf>
    <xf numFmtId="187" fontId="5" fillId="39" borderId="14" xfId="0" applyNumberFormat="1" applyFont="1" applyFill="1" applyBorder="1" applyAlignment="1">
      <alignment horizontal="right"/>
    </xf>
    <xf numFmtId="1" fontId="5" fillId="39" borderId="29" xfId="0" applyNumberFormat="1" applyFont="1" applyFill="1" applyBorder="1" applyAlignment="1">
      <alignment horizontal="center"/>
    </xf>
    <xf numFmtId="1" fontId="5" fillId="39" borderId="14" xfId="0" applyNumberFormat="1" applyFont="1" applyFill="1" applyBorder="1" applyAlignment="1">
      <alignment horizontal="center"/>
    </xf>
    <xf numFmtId="187" fontId="5" fillId="39" borderId="13" xfId="0" applyNumberFormat="1" applyFont="1" applyFill="1" applyBorder="1" applyAlignment="1">
      <alignment horizontal="right"/>
    </xf>
    <xf numFmtId="43" fontId="6" fillId="36" borderId="31" xfId="42" applyFont="1" applyFill="1" applyBorder="1" applyAlignment="1">
      <alignment horizontal="right"/>
    </xf>
    <xf numFmtId="43" fontId="6" fillId="36" borderId="18" xfId="42" applyFont="1" applyFill="1" applyBorder="1" applyAlignment="1">
      <alignment horizontal="right"/>
    </xf>
    <xf numFmtId="43" fontId="4" fillId="36" borderId="12" xfId="42" applyFont="1" applyFill="1" applyBorder="1" applyAlignment="1">
      <alignment horizontal="right"/>
    </xf>
    <xf numFmtId="43" fontId="4" fillId="36" borderId="22" xfId="42" applyFont="1" applyFill="1" applyBorder="1" applyAlignment="1">
      <alignment horizontal="right"/>
    </xf>
    <xf numFmtId="43" fontId="4" fillId="36" borderId="11" xfId="42" applyFont="1" applyFill="1" applyBorder="1" applyAlignment="1">
      <alignment horizontal="right"/>
    </xf>
    <xf numFmtId="187" fontId="4" fillId="36" borderId="21" xfId="0" applyNumberFormat="1" applyFont="1" applyFill="1" applyBorder="1" applyAlignment="1">
      <alignment horizontal="right"/>
    </xf>
    <xf numFmtId="43" fontId="4" fillId="36" borderId="24" xfId="42" applyFont="1" applyFill="1" applyBorder="1" applyAlignment="1">
      <alignment horizontal="right"/>
    </xf>
    <xf numFmtId="43" fontId="4" fillId="36" borderId="14" xfId="42" applyFont="1" applyFill="1" applyBorder="1" applyAlignment="1">
      <alignment horizontal="right"/>
    </xf>
    <xf numFmtId="43" fontId="4" fillId="39" borderId="12" xfId="42" applyFont="1" applyFill="1" applyBorder="1" applyAlignment="1">
      <alignment horizontal="right"/>
    </xf>
    <xf numFmtId="43" fontId="4" fillId="39" borderId="22" xfId="42" applyFont="1" applyFill="1" applyBorder="1" applyAlignment="1">
      <alignment horizontal="right"/>
    </xf>
    <xf numFmtId="43" fontId="5" fillId="36" borderId="31" xfId="42" applyFont="1" applyFill="1" applyBorder="1" applyAlignment="1">
      <alignment horizontal="right"/>
    </xf>
    <xf numFmtId="43" fontId="10" fillId="36" borderId="12" xfId="42" applyFont="1" applyFill="1" applyBorder="1" applyAlignment="1">
      <alignment horizontal="right"/>
    </xf>
    <xf numFmtId="43" fontId="10" fillId="36" borderId="22" xfId="42" applyFont="1" applyFill="1" applyBorder="1" applyAlignment="1">
      <alignment horizontal="right"/>
    </xf>
    <xf numFmtId="43" fontId="10" fillId="36" borderId="11" xfId="42" applyFont="1" applyFill="1" applyBorder="1" applyAlignment="1">
      <alignment horizontal="right"/>
    </xf>
    <xf numFmtId="187" fontId="10" fillId="36" borderId="21" xfId="0" applyNumberFormat="1" applyFont="1" applyFill="1" applyBorder="1" applyAlignment="1">
      <alignment horizontal="right"/>
    </xf>
    <xf numFmtId="43" fontId="10" fillId="36" borderId="34" xfId="42" applyFont="1" applyFill="1" applyBorder="1" applyAlignment="1">
      <alignment horizontal="right"/>
    </xf>
    <xf numFmtId="43" fontId="10" fillId="36" borderId="35" xfId="42" applyFont="1" applyFill="1" applyBorder="1" applyAlignment="1">
      <alignment horizontal="right"/>
    </xf>
    <xf numFmtId="43" fontId="4" fillId="36" borderId="36" xfId="42" applyFont="1" applyFill="1" applyBorder="1" applyAlignment="1">
      <alignment horizontal="right"/>
    </xf>
    <xf numFmtId="43" fontId="4" fillId="36" borderId="37" xfId="42" applyFont="1" applyFill="1" applyBorder="1" applyAlignment="1">
      <alignment horizontal="right"/>
    </xf>
    <xf numFmtId="43" fontId="4" fillId="36" borderId="12" xfId="42" applyFont="1" applyFill="1" applyBorder="1" applyAlignment="1">
      <alignment/>
    </xf>
    <xf numFmtId="43" fontId="4" fillId="36" borderId="22" xfId="42" applyFont="1" applyFill="1" applyBorder="1" applyAlignment="1">
      <alignment/>
    </xf>
    <xf numFmtId="43" fontId="4" fillId="39" borderId="12" xfId="42" applyFont="1" applyFill="1" applyBorder="1" applyAlignment="1">
      <alignment/>
    </xf>
    <xf numFmtId="43" fontId="4" fillId="39" borderId="22" xfId="42" applyFont="1" applyFill="1" applyBorder="1" applyAlignment="1">
      <alignment/>
    </xf>
    <xf numFmtId="187" fontId="6" fillId="37" borderId="26" xfId="0" applyNumberFormat="1" applyFont="1" applyFill="1" applyBorder="1" applyAlignment="1">
      <alignment horizontal="right"/>
    </xf>
    <xf numFmtId="187" fontId="5" fillId="37" borderId="26" xfId="0" applyNumberFormat="1" applyFont="1" applyFill="1" applyBorder="1" applyAlignment="1">
      <alignment horizontal="right"/>
    </xf>
    <xf numFmtId="4" fontId="49" fillId="0" borderId="19" xfId="0" applyNumberFormat="1" applyFont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1" fontId="4" fillId="36" borderId="12" xfId="0" applyNumberFormat="1" applyFont="1" applyFill="1" applyBorder="1" applyAlignment="1">
      <alignment horizontal="center" vertical="center" wrapText="1"/>
    </xf>
    <xf numFmtId="187" fontId="4" fillId="36" borderId="11" xfId="0" applyNumberFormat="1" applyFont="1" applyFill="1" applyBorder="1" applyAlignment="1">
      <alignment horizontal="center" vertical="center" wrapText="1"/>
    </xf>
    <xf numFmtId="43" fontId="4" fillId="39" borderId="11" xfId="42" applyFont="1" applyFill="1" applyBorder="1" applyAlignment="1">
      <alignment horizontal="right"/>
    </xf>
    <xf numFmtId="43" fontId="10" fillId="0" borderId="19" xfId="42" applyFont="1" applyFill="1" applyBorder="1" applyAlignment="1">
      <alignment horizontal="right"/>
    </xf>
    <xf numFmtId="43" fontId="50" fillId="0" borderId="19" xfId="42" applyFont="1" applyFill="1" applyBorder="1" applyAlignment="1">
      <alignment horizontal="right"/>
    </xf>
    <xf numFmtId="43" fontId="4" fillId="39" borderId="11" xfId="42" applyFont="1" applyFill="1" applyBorder="1" applyAlignment="1">
      <alignment/>
    </xf>
    <xf numFmtId="43" fontId="4" fillId="36" borderId="11" xfId="42" applyFont="1" applyFill="1" applyBorder="1" applyAlignment="1">
      <alignment/>
    </xf>
    <xf numFmtId="4" fontId="0" fillId="37" borderId="0" xfId="0" applyNumberFormat="1" applyFill="1" applyBorder="1" applyAlignment="1">
      <alignment/>
    </xf>
    <xf numFmtId="187" fontId="9" fillId="37" borderId="26" xfId="0" applyNumberFormat="1" applyFont="1" applyFill="1" applyBorder="1" applyAlignment="1">
      <alignment horizontal="right"/>
    </xf>
    <xf numFmtId="187" fontId="10" fillId="37" borderId="20" xfId="0" applyNumberFormat="1" applyFont="1" applyFill="1" applyBorder="1" applyAlignment="1">
      <alignment horizontal="right"/>
    </xf>
    <xf numFmtId="43" fontId="10" fillId="0" borderId="20" xfId="42" applyFont="1" applyFill="1" applyBorder="1" applyAlignment="1">
      <alignment horizontal="right"/>
    </xf>
    <xf numFmtId="43" fontId="4" fillId="0" borderId="20" xfId="42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87" fontId="9" fillId="33" borderId="32" xfId="0" applyNumberFormat="1" applyFont="1" applyFill="1" applyBorder="1" applyAlignment="1">
      <alignment horizontal="right"/>
    </xf>
    <xf numFmtId="187" fontId="9" fillId="33" borderId="37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left" wrapText="1"/>
    </xf>
    <xf numFmtId="187" fontId="4" fillId="0" borderId="20" xfId="0" applyNumberFormat="1" applyFont="1" applyFill="1" applyBorder="1" applyAlignment="1">
      <alignment horizontal="left" wrapText="1"/>
    </xf>
    <xf numFmtId="0" fontId="6" fillId="32" borderId="27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horizontal="right"/>
    </xf>
    <xf numFmtId="187" fontId="9" fillId="33" borderId="21" xfId="0" applyNumberFormat="1" applyFont="1" applyFill="1" applyBorder="1" applyAlignment="1">
      <alignment horizontal="right"/>
    </xf>
    <xf numFmtId="187" fontId="9" fillId="33" borderId="38" xfId="0" applyNumberFormat="1" applyFont="1" applyFill="1" applyBorder="1" applyAlignment="1">
      <alignment horizontal="right"/>
    </xf>
    <xf numFmtId="187" fontId="9" fillId="33" borderId="39" xfId="0" applyNumberFormat="1" applyFont="1" applyFill="1" applyBorder="1" applyAlignment="1">
      <alignment horizontal="right"/>
    </xf>
    <xf numFmtId="187" fontId="9" fillId="33" borderId="40" xfId="0" applyNumberFormat="1" applyFont="1" applyFill="1" applyBorder="1" applyAlignment="1">
      <alignment horizontal="right"/>
    </xf>
    <xf numFmtId="0" fontId="9" fillId="33" borderId="32" xfId="0" applyFont="1" applyFill="1" applyBorder="1" applyAlignment="1">
      <alignment horizontal="right" wrapText="1"/>
    </xf>
    <xf numFmtId="0" fontId="9" fillId="33" borderId="37" xfId="0" applyFont="1" applyFill="1" applyBorder="1" applyAlignment="1">
      <alignment horizontal="right" wrapText="1"/>
    </xf>
    <xf numFmtId="0" fontId="9" fillId="33" borderId="21" xfId="0" applyFont="1" applyFill="1" applyBorder="1" applyAlignment="1">
      <alignment horizontal="right" wrapText="1"/>
    </xf>
    <xf numFmtId="0" fontId="9" fillId="33" borderId="32" xfId="0" applyFont="1" applyFill="1" applyBorder="1" applyAlignment="1">
      <alignment horizontal="right"/>
    </xf>
    <xf numFmtId="0" fontId="9" fillId="33" borderId="37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43" fontId="5" fillId="0" borderId="0" xfId="0" applyNumberFormat="1" applyFont="1" applyAlignment="1">
      <alignment/>
    </xf>
    <xf numFmtId="43" fontId="5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4</xdr:col>
      <xdr:colOff>457200</xdr:colOff>
      <xdr:row>0</xdr:row>
      <xdr:rowOff>904875</xdr:rowOff>
    </xdr:to>
    <xdr:pic>
      <xdr:nvPicPr>
        <xdr:cNvPr id="1" name="Picture 300" descr="Description: C:\Users\jmenkveld\Pictures\IOM Logo English IOM Blue no bars.png"/>
        <xdr:cNvPicPr preferRelativeResize="1">
          <a:picLocks noChangeAspect="1"/>
        </xdr:cNvPicPr>
      </xdr:nvPicPr>
      <xdr:blipFill>
        <a:blip r:embed="rId1"/>
        <a:srcRect l="4571"/>
        <a:stretch>
          <a:fillRect/>
        </a:stretch>
      </xdr:blipFill>
      <xdr:spPr>
        <a:xfrm>
          <a:off x="2495550" y="66675"/>
          <a:ext cx="2295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SheetLayoutView="110" workbookViewId="0" topLeftCell="A1">
      <pane xSplit="1" ySplit="7" topLeftCell="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8" sqref="H78:H81"/>
    </sheetView>
  </sheetViews>
  <sheetFormatPr defaultColWidth="8.8515625" defaultRowHeight="12.75"/>
  <cols>
    <col min="1" max="1" width="36.421875" style="1" customWidth="1"/>
    <col min="2" max="2" width="11.28125" style="1" customWidth="1"/>
    <col min="3" max="3" width="9.421875" style="65" customWidth="1"/>
    <col min="4" max="4" width="7.8515625" style="66" bestFit="1" customWidth="1"/>
    <col min="5" max="5" width="9.7109375" style="1" bestFit="1" customWidth="1"/>
    <col min="6" max="6" width="12.421875" style="1" bestFit="1" customWidth="1"/>
    <col min="7" max="8" width="12.421875" style="1" customWidth="1"/>
    <col min="9" max="9" width="11.140625" style="1" customWidth="1"/>
    <col min="10" max="10" width="11.00390625" style="1" customWidth="1"/>
    <col min="11" max="11" width="12.140625" style="1" customWidth="1"/>
    <col min="12" max="13" width="11.28125" style="1" customWidth="1"/>
    <col min="14" max="17" width="13.00390625" style="40" customWidth="1"/>
    <col min="18" max="18" width="15.7109375" style="40" customWidth="1"/>
    <col min="19" max="19" width="19.421875" style="169" customWidth="1"/>
    <col min="20" max="20" width="13.00390625" style="1" customWidth="1"/>
    <col min="21" max="21" width="14.00390625" style="1" customWidth="1"/>
    <col min="22" max="22" width="9.8515625" style="1" customWidth="1"/>
    <col min="23" max="23" width="10.7109375" style="1" customWidth="1"/>
    <col min="24" max="24" width="10.00390625" style="1" customWidth="1"/>
    <col min="25" max="16384" width="8.8515625" style="1" customWidth="1"/>
  </cols>
  <sheetData>
    <row r="1" spans="1:21" ht="72" customHeight="1">
      <c r="A1" s="100"/>
      <c r="B1" s="101"/>
      <c r="C1" s="102"/>
      <c r="D1" s="103"/>
      <c r="E1" s="101"/>
      <c r="F1" s="101"/>
      <c r="G1" s="101"/>
      <c r="H1" s="101"/>
      <c r="I1" s="101"/>
      <c r="J1" s="101"/>
      <c r="K1" s="101"/>
      <c r="L1" s="101"/>
      <c r="M1" s="101"/>
      <c r="N1" s="233"/>
      <c r="O1" s="233"/>
      <c r="P1" s="233"/>
      <c r="Q1" s="233"/>
      <c r="R1" s="233"/>
      <c r="S1" s="160"/>
      <c r="T1" s="101"/>
      <c r="U1" s="104"/>
    </row>
    <row r="2" spans="1:21" ht="12">
      <c r="A2" s="110" t="s">
        <v>51</v>
      </c>
      <c r="B2" s="311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</row>
    <row r="3" spans="1:21" ht="12.75">
      <c r="A3" s="110" t="s">
        <v>35</v>
      </c>
      <c r="B3" s="109" t="s">
        <v>49</v>
      </c>
      <c r="C3" s="97"/>
      <c r="D3" s="97"/>
      <c r="E3" s="97"/>
      <c r="F3" s="98"/>
      <c r="G3" s="98"/>
      <c r="H3" s="98"/>
      <c r="I3" s="174"/>
      <c r="J3" s="174"/>
      <c r="K3" s="174"/>
      <c r="L3" s="174"/>
      <c r="M3" s="174"/>
      <c r="N3" s="234" t="s">
        <v>207</v>
      </c>
      <c r="O3" s="234"/>
      <c r="P3" s="234"/>
      <c r="Q3" s="98"/>
      <c r="R3" s="98"/>
      <c r="S3" s="161"/>
      <c r="T3" s="95"/>
      <c r="U3" s="96"/>
    </row>
    <row r="4" spans="1:21" ht="16.5" customHeight="1">
      <c r="A4" s="111" t="s">
        <v>31</v>
      </c>
      <c r="B4" s="97">
        <f>F103</f>
        <v>1460504.525</v>
      </c>
      <c r="C4" s="99" t="s">
        <v>48</v>
      </c>
      <c r="D4" s="99"/>
      <c r="E4" s="99"/>
      <c r="F4" s="95"/>
      <c r="G4" s="95"/>
      <c r="H4" s="95"/>
      <c r="I4" s="175"/>
      <c r="J4" s="175"/>
      <c r="K4" s="175"/>
      <c r="L4" s="175"/>
      <c r="M4" s="175"/>
      <c r="N4" s="95"/>
      <c r="O4" s="95"/>
      <c r="P4" s="95"/>
      <c r="Q4" s="95"/>
      <c r="R4" s="95"/>
      <c r="S4" s="162"/>
      <c r="T4" s="95"/>
      <c r="U4" s="96"/>
    </row>
    <row r="5" spans="1:21" ht="15" customHeight="1" thickBot="1">
      <c r="A5" s="112" t="s">
        <v>52</v>
      </c>
      <c r="B5" s="107" t="s">
        <v>50</v>
      </c>
      <c r="C5" s="107"/>
      <c r="D5" s="107"/>
      <c r="E5" s="107"/>
      <c r="F5" s="108"/>
      <c r="G5" s="105" t="s">
        <v>33</v>
      </c>
      <c r="H5" s="106" t="s">
        <v>34</v>
      </c>
      <c r="I5" s="176"/>
      <c r="J5" s="176"/>
      <c r="K5" s="176"/>
      <c r="L5" s="176"/>
      <c r="M5" s="176"/>
      <c r="N5" s="108"/>
      <c r="O5" s="108"/>
      <c r="P5" s="108"/>
      <c r="Q5" s="108"/>
      <c r="R5" s="108"/>
      <c r="S5" s="163"/>
      <c r="T5" s="105" t="s">
        <v>202</v>
      </c>
      <c r="U5" s="106" t="s">
        <v>206</v>
      </c>
    </row>
    <row r="6" spans="1:21" ht="24.75" customHeight="1" hidden="1">
      <c r="A6" s="313"/>
      <c r="B6" s="314"/>
      <c r="C6" s="314"/>
      <c r="D6" s="314"/>
      <c r="E6" s="314"/>
      <c r="F6" s="2"/>
      <c r="G6" s="67"/>
      <c r="H6" s="67"/>
      <c r="I6" s="67"/>
      <c r="J6" s="67"/>
      <c r="K6" s="67"/>
      <c r="L6" s="67"/>
      <c r="M6" s="67"/>
      <c r="N6" s="235"/>
      <c r="O6" s="235"/>
      <c r="P6" s="235"/>
      <c r="Q6" s="235"/>
      <c r="R6" s="235"/>
      <c r="S6" s="164"/>
      <c r="T6" s="67" t="s">
        <v>23</v>
      </c>
      <c r="U6" s="91" t="s">
        <v>24</v>
      </c>
    </row>
    <row r="7" spans="1:24" ht="37.5" customHeight="1" thickBot="1">
      <c r="A7" s="3"/>
      <c r="B7" s="4" t="s">
        <v>25</v>
      </c>
      <c r="C7" s="5" t="s">
        <v>9</v>
      </c>
      <c r="D7" s="6" t="s">
        <v>10</v>
      </c>
      <c r="E7" s="6" t="s">
        <v>0</v>
      </c>
      <c r="F7" s="7" t="s">
        <v>11</v>
      </c>
      <c r="G7" s="7" t="s">
        <v>27</v>
      </c>
      <c r="H7" s="92" t="s">
        <v>28</v>
      </c>
      <c r="I7" s="177" t="s">
        <v>134</v>
      </c>
      <c r="J7" s="177" t="s">
        <v>135</v>
      </c>
      <c r="K7" s="177" t="s">
        <v>190</v>
      </c>
      <c r="L7" s="177" t="s">
        <v>136</v>
      </c>
      <c r="M7" s="252" t="s">
        <v>191</v>
      </c>
      <c r="N7" s="253" t="s">
        <v>25</v>
      </c>
      <c r="O7" s="254" t="s">
        <v>9</v>
      </c>
      <c r="P7" s="255" t="s">
        <v>10</v>
      </c>
      <c r="Q7" s="290" t="s">
        <v>0</v>
      </c>
      <c r="R7" s="291" t="s">
        <v>11</v>
      </c>
      <c r="S7" s="257" t="s">
        <v>204</v>
      </c>
      <c r="T7" s="256" t="s">
        <v>27</v>
      </c>
      <c r="U7" s="92" t="s">
        <v>28</v>
      </c>
      <c r="V7" s="324" t="s">
        <v>208</v>
      </c>
      <c r="W7" s="324" t="s">
        <v>209</v>
      </c>
      <c r="X7" s="324" t="s">
        <v>210</v>
      </c>
    </row>
    <row r="8" spans="1:21" ht="24.75" customHeight="1" thickBot="1">
      <c r="A8" s="8"/>
      <c r="B8" s="9"/>
      <c r="C8" s="121"/>
      <c r="D8" s="10"/>
      <c r="E8" s="11"/>
      <c r="F8" s="158"/>
      <c r="G8" s="12"/>
      <c r="H8" s="12"/>
      <c r="I8" s="158"/>
      <c r="J8" s="158"/>
      <c r="K8" s="158"/>
      <c r="L8" s="158"/>
      <c r="M8" s="258"/>
      <c r="N8" s="259"/>
      <c r="O8" s="260"/>
      <c r="P8" s="261"/>
      <c r="Q8" s="261"/>
      <c r="R8" s="262"/>
      <c r="S8" s="258"/>
      <c r="T8" s="258"/>
      <c r="U8" s="12"/>
    </row>
    <row r="9" spans="1:21" ht="15" customHeight="1">
      <c r="A9" s="13" t="s">
        <v>12</v>
      </c>
      <c r="B9" s="14"/>
      <c r="C9" s="20"/>
      <c r="D9" s="15"/>
      <c r="E9" s="16"/>
      <c r="F9" s="159"/>
      <c r="G9" s="17"/>
      <c r="H9" s="17"/>
      <c r="I9" s="159"/>
      <c r="J9" s="159"/>
      <c r="K9" s="194"/>
      <c r="L9" s="194"/>
      <c r="M9" s="139"/>
      <c r="N9" s="14"/>
      <c r="O9" s="20"/>
      <c r="P9" s="15"/>
      <c r="Q9" s="15"/>
      <c r="R9" s="159"/>
      <c r="S9" s="165"/>
      <c r="T9" s="17"/>
      <c r="U9" s="17"/>
    </row>
    <row r="10" spans="1:24" ht="15" customHeight="1">
      <c r="A10" s="18" t="s">
        <v>36</v>
      </c>
      <c r="B10" s="19">
        <v>25425</v>
      </c>
      <c r="C10" s="20">
        <v>0.05</v>
      </c>
      <c r="D10" s="21">
        <v>14</v>
      </c>
      <c r="E10" s="22" t="s">
        <v>13</v>
      </c>
      <c r="F10" s="142">
        <f>B10*C10*D10</f>
        <v>17797.5</v>
      </c>
      <c r="G10" s="23">
        <f>(F10/14)*4</f>
        <v>5085</v>
      </c>
      <c r="H10" s="23">
        <f>(F10/14)*10</f>
        <v>12712.5</v>
      </c>
      <c r="I10" s="178">
        <v>2349.29</v>
      </c>
      <c r="J10" s="178">
        <v>1259.25</v>
      </c>
      <c r="K10" s="178"/>
      <c r="L10" s="142">
        <v>1260</v>
      </c>
      <c r="M10" s="140">
        <f>I10+J10+K10+L10</f>
        <v>4868.54</v>
      </c>
      <c r="N10" s="19">
        <v>25425</v>
      </c>
      <c r="O10" s="20">
        <v>0.05</v>
      </c>
      <c r="P10" s="21">
        <v>11</v>
      </c>
      <c r="Q10" s="21" t="s">
        <v>13</v>
      </c>
      <c r="R10" s="142">
        <f>N10*O10*P10</f>
        <v>13983.75</v>
      </c>
      <c r="S10" s="166">
        <f>M10+R10</f>
        <v>18852.29</v>
      </c>
      <c r="T10" s="23">
        <v>5085</v>
      </c>
      <c r="U10" s="23">
        <f>S10-T10</f>
        <v>13767.29</v>
      </c>
      <c r="V10" s="325">
        <f>M10-G10</f>
        <v>-216.46000000000004</v>
      </c>
      <c r="W10" s="325">
        <f>R10-H10</f>
        <v>1271.25</v>
      </c>
      <c r="X10" s="325">
        <f>SUM(V10:W10)</f>
        <v>1054.79</v>
      </c>
    </row>
    <row r="11" spans="1:24" ht="15" customHeight="1">
      <c r="A11" s="18" t="s">
        <v>37</v>
      </c>
      <c r="B11" s="19">
        <v>15000</v>
      </c>
      <c r="C11" s="20">
        <v>1</v>
      </c>
      <c r="D11" s="21">
        <v>14</v>
      </c>
      <c r="E11" s="22" t="s">
        <v>13</v>
      </c>
      <c r="F11" s="142">
        <f aca="true" t="shared" si="0" ref="F11:F19">B11*C11*D11</f>
        <v>210000</v>
      </c>
      <c r="G11" s="23">
        <f>(F11/14)*4</f>
        <v>60000</v>
      </c>
      <c r="H11" s="23">
        <f>(F11/14)*10</f>
        <v>150000</v>
      </c>
      <c r="I11" s="178">
        <v>65546.95</v>
      </c>
      <c r="J11" s="178">
        <v>11444.75</v>
      </c>
      <c r="K11" s="178">
        <v>1802.82</v>
      </c>
      <c r="L11" s="142">
        <v>15250</v>
      </c>
      <c r="M11" s="140">
        <f aca="true" t="shared" si="1" ref="M11:M19">I11+J11+K11+L11</f>
        <v>94044.52</v>
      </c>
      <c r="N11" s="19">
        <v>15000</v>
      </c>
      <c r="O11" s="20">
        <v>1</v>
      </c>
      <c r="P11" s="21">
        <v>11</v>
      </c>
      <c r="Q11" s="21" t="s">
        <v>13</v>
      </c>
      <c r="R11" s="142">
        <f aca="true" t="shared" si="2" ref="R11:R19">N11*O11*P11</f>
        <v>165000</v>
      </c>
      <c r="S11" s="166">
        <f aca="true" t="shared" si="3" ref="S11:S19">M11+R11</f>
        <v>259044.52000000002</v>
      </c>
      <c r="T11" s="23">
        <v>60000</v>
      </c>
      <c r="U11" s="23">
        <f aca="true" t="shared" si="4" ref="U11:U19">S11-T11</f>
        <v>199044.52000000002</v>
      </c>
      <c r="V11" s="325">
        <f aca="true" t="shared" si="5" ref="V11:V20">M11-G11</f>
        <v>34044.520000000004</v>
      </c>
      <c r="W11" s="325">
        <f aca="true" t="shared" si="6" ref="W11:W20">R11-H11</f>
        <v>15000</v>
      </c>
      <c r="X11" s="325">
        <f aca="true" t="shared" si="7" ref="X11:X20">SUM(V11:W11)</f>
        <v>49044.520000000004</v>
      </c>
    </row>
    <row r="12" spans="1:24" ht="15" customHeight="1">
      <c r="A12" s="18" t="s">
        <v>201</v>
      </c>
      <c r="B12" s="19"/>
      <c r="C12" s="20"/>
      <c r="D12" s="21"/>
      <c r="E12" s="22"/>
      <c r="F12" s="142"/>
      <c r="G12" s="23"/>
      <c r="H12" s="23"/>
      <c r="I12" s="178"/>
      <c r="J12" s="178"/>
      <c r="K12" s="178"/>
      <c r="L12" s="142"/>
      <c r="M12" s="140">
        <f t="shared" si="1"/>
        <v>0</v>
      </c>
      <c r="N12" s="19">
        <v>9000</v>
      </c>
      <c r="O12" s="20">
        <v>0.33</v>
      </c>
      <c r="P12" s="21">
        <v>11</v>
      </c>
      <c r="Q12" s="21" t="s">
        <v>13</v>
      </c>
      <c r="R12" s="142">
        <f t="shared" si="2"/>
        <v>32670</v>
      </c>
      <c r="S12" s="166">
        <f t="shared" si="3"/>
        <v>32670</v>
      </c>
      <c r="T12" s="23"/>
      <c r="U12" s="23">
        <f t="shared" si="4"/>
        <v>32670</v>
      </c>
      <c r="V12" s="325">
        <f t="shared" si="5"/>
        <v>0</v>
      </c>
      <c r="W12" s="325">
        <f t="shared" si="6"/>
        <v>32670</v>
      </c>
      <c r="X12" s="325">
        <f t="shared" si="7"/>
        <v>32670</v>
      </c>
    </row>
    <row r="13" spans="1:24" ht="15" customHeight="1">
      <c r="A13" s="24" t="s">
        <v>38</v>
      </c>
      <c r="B13" s="19">
        <v>14000</v>
      </c>
      <c r="C13" s="20">
        <v>0.25</v>
      </c>
      <c r="D13" s="21">
        <v>14</v>
      </c>
      <c r="E13" s="22" t="s">
        <v>13</v>
      </c>
      <c r="F13" s="142">
        <f>B13*C13*D13</f>
        <v>49000</v>
      </c>
      <c r="G13" s="23">
        <f>(F13/14)*4</f>
        <v>14000</v>
      </c>
      <c r="H13" s="23">
        <f>(F13/14)*10</f>
        <v>35000</v>
      </c>
      <c r="I13" s="178">
        <v>4162.14</v>
      </c>
      <c r="J13" s="178">
        <v>5000</v>
      </c>
      <c r="K13" s="178"/>
      <c r="L13" s="142">
        <v>5000</v>
      </c>
      <c r="M13" s="140">
        <f>I13+J13+K13+L13</f>
        <v>14162.14</v>
      </c>
      <c r="N13" s="19">
        <v>14000</v>
      </c>
      <c r="O13" s="20">
        <v>0.25</v>
      </c>
      <c r="P13" s="21">
        <v>11</v>
      </c>
      <c r="Q13" s="21" t="s">
        <v>13</v>
      </c>
      <c r="R13" s="142">
        <f t="shared" si="2"/>
        <v>38500</v>
      </c>
      <c r="S13" s="166">
        <f t="shared" si="3"/>
        <v>52662.14</v>
      </c>
      <c r="T13" s="23">
        <v>14000</v>
      </c>
      <c r="U13" s="23">
        <f t="shared" si="4"/>
        <v>38662.14</v>
      </c>
      <c r="V13" s="325">
        <f t="shared" si="5"/>
        <v>162.13999999999942</v>
      </c>
      <c r="W13" s="325">
        <f t="shared" si="6"/>
        <v>3500</v>
      </c>
      <c r="X13" s="325">
        <f t="shared" si="7"/>
        <v>3662.1399999999994</v>
      </c>
    </row>
    <row r="14" spans="1:24" ht="15" customHeight="1">
      <c r="A14" s="24"/>
      <c r="B14" s="19"/>
      <c r="C14" s="20"/>
      <c r="D14" s="21"/>
      <c r="E14" s="22"/>
      <c r="F14" s="142"/>
      <c r="G14" s="23"/>
      <c r="H14" s="23"/>
      <c r="I14" s="142"/>
      <c r="J14" s="142"/>
      <c r="K14" s="142"/>
      <c r="L14" s="142"/>
      <c r="M14" s="140">
        <f t="shared" si="1"/>
        <v>0</v>
      </c>
      <c r="N14" s="19"/>
      <c r="O14" s="20"/>
      <c r="P14" s="21"/>
      <c r="Q14" s="21"/>
      <c r="R14" s="142"/>
      <c r="S14" s="166"/>
      <c r="T14" s="23"/>
      <c r="U14" s="23"/>
      <c r="V14" s="325">
        <f t="shared" si="5"/>
        <v>0</v>
      </c>
      <c r="W14" s="325">
        <f t="shared" si="6"/>
        <v>0</v>
      </c>
      <c r="X14" s="325">
        <f t="shared" si="7"/>
        <v>0</v>
      </c>
    </row>
    <row r="15" spans="1:24" ht="15" customHeight="1">
      <c r="A15" s="25" t="s">
        <v>14</v>
      </c>
      <c r="B15" s="19"/>
      <c r="C15" s="20"/>
      <c r="D15" s="21"/>
      <c r="E15" s="22"/>
      <c r="F15" s="142"/>
      <c r="G15" s="23"/>
      <c r="H15" s="23"/>
      <c r="I15" s="142"/>
      <c r="J15" s="142"/>
      <c r="K15" s="142"/>
      <c r="L15" s="142"/>
      <c r="M15" s="140">
        <f t="shared" si="1"/>
        <v>0</v>
      </c>
      <c r="N15" s="19"/>
      <c r="O15" s="20"/>
      <c r="P15" s="21"/>
      <c r="Q15" s="21"/>
      <c r="R15" s="142"/>
      <c r="S15" s="166"/>
      <c r="T15" s="23"/>
      <c r="U15" s="23"/>
      <c r="V15" s="325">
        <f t="shared" si="5"/>
        <v>0</v>
      </c>
      <c r="W15" s="325">
        <f t="shared" si="6"/>
        <v>0</v>
      </c>
      <c r="X15" s="325">
        <f t="shared" si="7"/>
        <v>0</v>
      </c>
    </row>
    <row r="16" spans="1:24" ht="15" customHeight="1">
      <c r="A16" s="71" t="s">
        <v>39</v>
      </c>
      <c r="B16" s="70">
        <v>3200</v>
      </c>
      <c r="C16" s="20">
        <v>1</v>
      </c>
      <c r="D16" s="21">
        <v>14</v>
      </c>
      <c r="E16" s="22" t="s">
        <v>13</v>
      </c>
      <c r="F16" s="142">
        <f t="shared" si="0"/>
        <v>44800</v>
      </c>
      <c r="G16" s="23">
        <f>(F16/14)*4</f>
        <v>12800</v>
      </c>
      <c r="H16" s="23">
        <f>(F16/14)*10</f>
        <v>32000</v>
      </c>
      <c r="I16" s="288">
        <f>5463.72-667</f>
        <v>4796.72</v>
      </c>
      <c r="J16" s="288">
        <f>2713.94-667</f>
        <v>2046.94</v>
      </c>
      <c r="K16" s="178"/>
      <c r="L16" s="288">
        <f>2713.94-667</f>
        <v>2046.94</v>
      </c>
      <c r="M16" s="140">
        <f t="shared" si="1"/>
        <v>8890.6</v>
      </c>
      <c r="N16" s="236">
        <v>3200</v>
      </c>
      <c r="O16" s="289">
        <v>0.84</v>
      </c>
      <c r="P16" s="21">
        <v>11</v>
      </c>
      <c r="Q16" s="21" t="s">
        <v>13</v>
      </c>
      <c r="R16" s="142">
        <f t="shared" si="2"/>
        <v>29568</v>
      </c>
      <c r="S16" s="166">
        <f t="shared" si="3"/>
        <v>38458.6</v>
      </c>
      <c r="T16" s="23">
        <v>12800</v>
      </c>
      <c r="U16" s="23">
        <f t="shared" si="4"/>
        <v>25658.6</v>
      </c>
      <c r="V16" s="325">
        <f t="shared" si="5"/>
        <v>-3909.3999999999996</v>
      </c>
      <c r="W16" s="325">
        <f t="shared" si="6"/>
        <v>-2432</v>
      </c>
      <c r="X16" s="325">
        <f t="shared" si="7"/>
        <v>-6341.4</v>
      </c>
    </row>
    <row r="17" spans="1:24" ht="15" customHeight="1">
      <c r="A17" s="49" t="s">
        <v>40</v>
      </c>
      <c r="B17" s="69">
        <v>2500</v>
      </c>
      <c r="C17" s="20">
        <v>1</v>
      </c>
      <c r="D17" s="21">
        <v>14</v>
      </c>
      <c r="E17" s="22" t="s">
        <v>13</v>
      </c>
      <c r="F17" s="142">
        <f t="shared" si="0"/>
        <v>35000</v>
      </c>
      <c r="G17" s="23">
        <f>(F17/14)*4</f>
        <v>10000</v>
      </c>
      <c r="H17" s="23">
        <f>(F17/14)*10</f>
        <v>25000</v>
      </c>
      <c r="I17" s="178">
        <v>3594.68</v>
      </c>
      <c r="J17" s="178">
        <v>2021.66</v>
      </c>
      <c r="K17" s="178"/>
      <c r="L17" s="178">
        <v>2021.66</v>
      </c>
      <c r="M17" s="140">
        <f t="shared" si="1"/>
        <v>7638</v>
      </c>
      <c r="N17" s="69">
        <v>2000</v>
      </c>
      <c r="O17" s="20">
        <v>1</v>
      </c>
      <c r="P17" s="21">
        <v>11</v>
      </c>
      <c r="Q17" s="21" t="s">
        <v>13</v>
      </c>
      <c r="R17" s="142">
        <f t="shared" si="2"/>
        <v>22000</v>
      </c>
      <c r="S17" s="166">
        <f t="shared" si="3"/>
        <v>29638</v>
      </c>
      <c r="T17" s="23">
        <v>10000</v>
      </c>
      <c r="U17" s="23">
        <f t="shared" si="4"/>
        <v>19638</v>
      </c>
      <c r="V17" s="325">
        <f t="shared" si="5"/>
        <v>-2362</v>
      </c>
      <c r="W17" s="325">
        <f t="shared" si="6"/>
        <v>-3000</v>
      </c>
      <c r="X17" s="325">
        <f t="shared" si="7"/>
        <v>-5362</v>
      </c>
    </row>
    <row r="18" spans="1:24" ht="15" customHeight="1">
      <c r="A18" s="71" t="s">
        <v>63</v>
      </c>
      <c r="B18" s="68">
        <v>2500</v>
      </c>
      <c r="C18" s="20">
        <v>1</v>
      </c>
      <c r="D18" s="21">
        <v>14</v>
      </c>
      <c r="E18" s="22" t="s">
        <v>13</v>
      </c>
      <c r="F18" s="142">
        <f t="shared" si="0"/>
        <v>35000</v>
      </c>
      <c r="G18" s="23">
        <f>(F18/14)*4</f>
        <v>10000</v>
      </c>
      <c r="H18" s="23">
        <f>(F18/14)*10</f>
        <v>25000</v>
      </c>
      <c r="I18" s="178">
        <v>2416.6</v>
      </c>
      <c r="J18" s="178">
        <v>1601.08</v>
      </c>
      <c r="K18" s="178"/>
      <c r="L18" s="178">
        <v>1601.08</v>
      </c>
      <c r="M18" s="140">
        <f t="shared" si="1"/>
        <v>5618.76</v>
      </c>
      <c r="N18" s="69">
        <v>1600</v>
      </c>
      <c r="O18" s="20">
        <v>1</v>
      </c>
      <c r="P18" s="21">
        <v>3</v>
      </c>
      <c r="Q18" s="21" t="s">
        <v>13</v>
      </c>
      <c r="R18" s="142">
        <f t="shared" si="2"/>
        <v>4800</v>
      </c>
      <c r="S18" s="166">
        <f t="shared" si="3"/>
        <v>10418.76</v>
      </c>
      <c r="T18" s="23">
        <v>10000</v>
      </c>
      <c r="U18" s="23">
        <f t="shared" si="4"/>
        <v>418.7600000000002</v>
      </c>
      <c r="V18" s="325">
        <f t="shared" si="5"/>
        <v>-4381.24</v>
      </c>
      <c r="W18" s="325">
        <f t="shared" si="6"/>
        <v>-20200</v>
      </c>
      <c r="X18" s="325">
        <f t="shared" si="7"/>
        <v>-24581.239999999998</v>
      </c>
    </row>
    <row r="19" spans="1:24" ht="15" customHeight="1" thickBot="1">
      <c r="A19" s="24" t="s">
        <v>62</v>
      </c>
      <c r="B19" s="19">
        <v>4000</v>
      </c>
      <c r="C19" s="20">
        <v>1</v>
      </c>
      <c r="D19" s="21">
        <v>14</v>
      </c>
      <c r="E19" s="22" t="s">
        <v>13</v>
      </c>
      <c r="F19" s="142">
        <f t="shared" si="0"/>
        <v>56000</v>
      </c>
      <c r="G19" s="23">
        <f>(F19/14)*4</f>
        <v>16000</v>
      </c>
      <c r="H19" s="23">
        <f>(F19/14)*10</f>
        <v>40000</v>
      </c>
      <c r="I19" s="178">
        <v>1926.61</v>
      </c>
      <c r="J19" s="178">
        <v>6000</v>
      </c>
      <c r="K19" s="178"/>
      <c r="L19" s="178">
        <v>6000</v>
      </c>
      <c r="M19" s="140">
        <f t="shared" si="1"/>
        <v>13926.61</v>
      </c>
      <c r="N19" s="19">
        <v>4000</v>
      </c>
      <c r="O19" s="20">
        <v>1</v>
      </c>
      <c r="P19" s="21">
        <v>11</v>
      </c>
      <c r="Q19" s="21" t="s">
        <v>13</v>
      </c>
      <c r="R19" s="142">
        <f t="shared" si="2"/>
        <v>44000</v>
      </c>
      <c r="S19" s="166">
        <f t="shared" si="3"/>
        <v>57926.61</v>
      </c>
      <c r="T19" s="23">
        <v>16000</v>
      </c>
      <c r="U19" s="23">
        <f t="shared" si="4"/>
        <v>41926.61</v>
      </c>
      <c r="V19" s="325">
        <f t="shared" si="5"/>
        <v>-2073.3899999999994</v>
      </c>
      <c r="W19" s="325">
        <f t="shared" si="6"/>
        <v>4000</v>
      </c>
      <c r="X19" s="325">
        <f t="shared" si="7"/>
        <v>1926.6100000000006</v>
      </c>
    </row>
    <row r="20" spans="1:24" ht="15" customHeight="1" thickBot="1">
      <c r="A20" s="309" t="s">
        <v>58</v>
      </c>
      <c r="B20" s="310"/>
      <c r="C20" s="310"/>
      <c r="D20" s="310"/>
      <c r="E20" s="315"/>
      <c r="F20" s="147">
        <f aca="true" t="shared" si="8" ref="F20:L20">SUM(F10:F19)</f>
        <v>447597.5</v>
      </c>
      <c r="G20" s="26">
        <f>SUM(G10:G19)</f>
        <v>127885</v>
      </c>
      <c r="H20" s="26">
        <f>SUM(H10:H19)</f>
        <v>319712.5</v>
      </c>
      <c r="I20" s="179">
        <f t="shared" si="8"/>
        <v>84792.98999999999</v>
      </c>
      <c r="J20" s="179">
        <f t="shared" si="8"/>
        <v>29373.68</v>
      </c>
      <c r="K20" s="179">
        <f t="shared" si="8"/>
        <v>1802.82</v>
      </c>
      <c r="L20" s="263">
        <f t="shared" si="8"/>
        <v>33179.68</v>
      </c>
      <c r="M20" s="264">
        <f>SUM(M10:M19)</f>
        <v>149149.16999999998</v>
      </c>
      <c r="N20" s="265"/>
      <c r="O20" s="266"/>
      <c r="P20" s="266"/>
      <c r="Q20" s="266"/>
      <c r="R20" s="267">
        <f>SUM(R10:R19)</f>
        <v>350521.75</v>
      </c>
      <c r="S20" s="268">
        <f>SUM(S10:S19)</f>
        <v>499670.92</v>
      </c>
      <c r="T20" s="26">
        <f>SUM(T10:T19)</f>
        <v>127885</v>
      </c>
      <c r="U20" s="26">
        <f>SUM(U10:U19)</f>
        <v>371785.92</v>
      </c>
      <c r="V20" s="325">
        <f t="shared" si="5"/>
        <v>21264.169999999984</v>
      </c>
      <c r="W20" s="325">
        <f t="shared" si="6"/>
        <v>30809.25</v>
      </c>
      <c r="X20" s="325">
        <f t="shared" si="7"/>
        <v>52073.419999999984</v>
      </c>
    </row>
    <row r="21" spans="1:21" ht="15" customHeight="1">
      <c r="A21" s="27"/>
      <c r="B21" s="19"/>
      <c r="C21" s="20"/>
      <c r="D21" s="21"/>
      <c r="E21" s="22"/>
      <c r="F21" s="143"/>
      <c r="G21" s="135"/>
      <c r="H21" s="28"/>
      <c r="I21" s="144"/>
      <c r="J21" s="144"/>
      <c r="K21" s="144"/>
      <c r="L21" s="144"/>
      <c r="M21" s="202"/>
      <c r="N21" s="237"/>
      <c r="O21" s="238"/>
      <c r="P21" s="238"/>
      <c r="Q21" s="238"/>
      <c r="R21" s="143"/>
      <c r="S21" s="167"/>
      <c r="T21" s="135"/>
      <c r="U21" s="28"/>
    </row>
    <row r="22" spans="1:21" ht="15" customHeight="1">
      <c r="A22" s="29" t="s">
        <v>15</v>
      </c>
      <c r="B22" s="19"/>
      <c r="C22" s="20"/>
      <c r="D22" s="21"/>
      <c r="E22" s="22"/>
      <c r="F22" s="142"/>
      <c r="G22" s="118"/>
      <c r="H22" s="23"/>
      <c r="I22" s="142"/>
      <c r="J22" s="185"/>
      <c r="K22" s="142"/>
      <c r="L22" s="142"/>
      <c r="M22" s="142"/>
      <c r="N22" s="191"/>
      <c r="O22" s="239"/>
      <c r="P22" s="239"/>
      <c r="Q22" s="239"/>
      <c r="R22" s="142"/>
      <c r="S22" s="166"/>
      <c r="T22" s="118"/>
      <c r="U22" s="23"/>
    </row>
    <row r="23" spans="1:24" ht="15" customHeight="1">
      <c r="A23" s="18" t="s">
        <v>42</v>
      </c>
      <c r="B23" s="19">
        <v>2000</v>
      </c>
      <c r="C23" s="20">
        <v>1</v>
      </c>
      <c r="D23" s="21">
        <v>14</v>
      </c>
      <c r="E23" s="22" t="s">
        <v>13</v>
      </c>
      <c r="F23" s="142">
        <f aca="true" t="shared" si="9" ref="F23:F28">B23*C23*D23</f>
        <v>28000</v>
      </c>
      <c r="G23" s="118">
        <f aca="true" t="shared" si="10" ref="G23:G28">(F23/14)*4</f>
        <v>8000</v>
      </c>
      <c r="H23" s="23">
        <f aca="true" t="shared" si="11" ref="H23:H28">(F23/14)*10</f>
        <v>20000</v>
      </c>
      <c r="I23" s="178">
        <v>3493.95</v>
      </c>
      <c r="J23" s="297">
        <v>5486.85</v>
      </c>
      <c r="K23" s="178"/>
      <c r="L23" s="142">
        <v>1000</v>
      </c>
      <c r="M23" s="142">
        <f aca="true" t="shared" si="12" ref="M23:M28">I23+J23+K23+L23</f>
        <v>9980.8</v>
      </c>
      <c r="N23" s="287">
        <v>1400</v>
      </c>
      <c r="O23" s="20">
        <v>1</v>
      </c>
      <c r="P23" s="21">
        <v>11</v>
      </c>
      <c r="Q23" s="21" t="s">
        <v>13</v>
      </c>
      <c r="R23" s="142">
        <f aca="true" t="shared" si="13" ref="R23:R28">N23*O23*P23</f>
        <v>15400</v>
      </c>
      <c r="S23" s="166">
        <f aca="true" t="shared" si="14" ref="S23:S28">M23+R23</f>
        <v>25380.8</v>
      </c>
      <c r="T23" s="118">
        <v>8000</v>
      </c>
      <c r="U23" s="23">
        <f aca="true" t="shared" si="15" ref="U23:U28">S23-T23</f>
        <v>17380.8</v>
      </c>
      <c r="V23" s="325">
        <f>M23-G23</f>
        <v>1980.7999999999993</v>
      </c>
      <c r="W23" s="325">
        <f>R23-H23</f>
        <v>-4600</v>
      </c>
      <c r="X23" s="325">
        <f>SUM(V23:W23)</f>
        <v>-2619.2000000000007</v>
      </c>
    </row>
    <row r="24" spans="1:24" ht="15" customHeight="1">
      <c r="A24" s="18" t="s">
        <v>43</v>
      </c>
      <c r="B24" s="19">
        <v>1000</v>
      </c>
      <c r="C24" s="20">
        <v>1</v>
      </c>
      <c r="D24" s="21">
        <v>14</v>
      </c>
      <c r="E24" s="22" t="s">
        <v>13</v>
      </c>
      <c r="F24" s="142">
        <f t="shared" si="9"/>
        <v>14000</v>
      </c>
      <c r="G24" s="118">
        <f t="shared" si="10"/>
        <v>4000</v>
      </c>
      <c r="H24" s="23">
        <f t="shared" si="11"/>
        <v>10000</v>
      </c>
      <c r="I24" s="178">
        <v>5048.11</v>
      </c>
      <c r="J24" s="208">
        <v>4564</v>
      </c>
      <c r="K24" s="180">
        <v>337.18</v>
      </c>
      <c r="L24" s="142">
        <v>1000</v>
      </c>
      <c r="M24" s="142">
        <f t="shared" si="12"/>
        <v>10949.29</v>
      </c>
      <c r="N24" s="287">
        <v>1000</v>
      </c>
      <c r="O24" s="20">
        <v>1</v>
      </c>
      <c r="P24" s="21">
        <v>11</v>
      </c>
      <c r="Q24" s="21" t="s">
        <v>13</v>
      </c>
      <c r="R24" s="142">
        <f t="shared" si="13"/>
        <v>11000</v>
      </c>
      <c r="S24" s="166">
        <f t="shared" si="14"/>
        <v>21949.29</v>
      </c>
      <c r="T24" s="118">
        <v>4000</v>
      </c>
      <c r="U24" s="23">
        <f t="shared" si="15"/>
        <v>17949.29</v>
      </c>
      <c r="V24" s="325">
        <f aca="true" t="shared" si="16" ref="V24:V33">M24-G24</f>
        <v>6949.290000000001</v>
      </c>
      <c r="W24" s="325">
        <f aca="true" t="shared" si="17" ref="W24:W33">R24-H24</f>
        <v>1000</v>
      </c>
      <c r="X24" s="325">
        <f aca="true" t="shared" si="18" ref="X24:X30">SUM(V24:W24)</f>
        <v>7949.290000000001</v>
      </c>
    </row>
    <row r="25" spans="1:24" ht="15" customHeight="1">
      <c r="A25" s="18" t="s">
        <v>44</v>
      </c>
      <c r="B25" s="19">
        <v>500</v>
      </c>
      <c r="C25" s="20">
        <v>1</v>
      </c>
      <c r="D25" s="21">
        <v>14</v>
      </c>
      <c r="E25" s="22" t="s">
        <v>13</v>
      </c>
      <c r="F25" s="142">
        <f t="shared" si="9"/>
        <v>7000</v>
      </c>
      <c r="G25" s="118">
        <f t="shared" si="10"/>
        <v>2000</v>
      </c>
      <c r="H25" s="23">
        <f t="shared" si="11"/>
        <v>5000</v>
      </c>
      <c r="I25" s="180">
        <v>62.71</v>
      </c>
      <c r="J25" s="211">
        <v>62.71</v>
      </c>
      <c r="K25" s="180">
        <v>588.9</v>
      </c>
      <c r="L25" s="142">
        <v>300</v>
      </c>
      <c r="M25" s="142">
        <f t="shared" si="12"/>
        <v>1014.3199999999999</v>
      </c>
      <c r="N25" s="287">
        <v>260</v>
      </c>
      <c r="O25" s="20">
        <v>1</v>
      </c>
      <c r="P25" s="21">
        <v>11</v>
      </c>
      <c r="Q25" s="21" t="s">
        <v>13</v>
      </c>
      <c r="R25" s="142">
        <f t="shared" si="13"/>
        <v>2860</v>
      </c>
      <c r="S25" s="166">
        <f t="shared" si="14"/>
        <v>3874.3199999999997</v>
      </c>
      <c r="T25" s="118">
        <v>2000</v>
      </c>
      <c r="U25" s="23">
        <f t="shared" si="15"/>
        <v>1874.3199999999997</v>
      </c>
      <c r="V25" s="325">
        <f t="shared" si="16"/>
        <v>-985.6800000000001</v>
      </c>
      <c r="W25" s="325">
        <f t="shared" si="17"/>
        <v>-2140</v>
      </c>
      <c r="X25" s="325">
        <f t="shared" si="18"/>
        <v>-3125.6800000000003</v>
      </c>
    </row>
    <row r="26" spans="1:24" ht="15" customHeight="1">
      <c r="A26" s="18" t="s">
        <v>45</v>
      </c>
      <c r="B26" s="19">
        <v>20000</v>
      </c>
      <c r="C26" s="20">
        <v>0.1</v>
      </c>
      <c r="D26" s="21">
        <v>14</v>
      </c>
      <c r="E26" s="22" t="s">
        <v>13</v>
      </c>
      <c r="F26" s="142">
        <f t="shared" si="9"/>
        <v>28000</v>
      </c>
      <c r="G26" s="118">
        <f t="shared" si="10"/>
        <v>8000</v>
      </c>
      <c r="H26" s="23">
        <f t="shared" si="11"/>
        <v>20000</v>
      </c>
      <c r="I26" s="178">
        <v>2428.2</v>
      </c>
      <c r="J26" s="297">
        <v>1839.06</v>
      </c>
      <c r="K26" s="178"/>
      <c r="L26" s="142">
        <v>1800</v>
      </c>
      <c r="M26" s="142">
        <f t="shared" si="12"/>
        <v>6067.26</v>
      </c>
      <c r="N26" s="287">
        <v>20000</v>
      </c>
      <c r="O26" s="20">
        <v>0.1</v>
      </c>
      <c r="P26" s="21">
        <v>11</v>
      </c>
      <c r="Q26" s="21" t="s">
        <v>13</v>
      </c>
      <c r="R26" s="142">
        <f t="shared" si="13"/>
        <v>22000</v>
      </c>
      <c r="S26" s="166">
        <f t="shared" si="14"/>
        <v>28067.260000000002</v>
      </c>
      <c r="T26" s="118">
        <v>8000</v>
      </c>
      <c r="U26" s="23">
        <f t="shared" si="15"/>
        <v>20067.260000000002</v>
      </c>
      <c r="V26" s="325">
        <f t="shared" si="16"/>
        <v>-1932.7399999999998</v>
      </c>
      <c r="W26" s="325">
        <f t="shared" si="17"/>
        <v>2000</v>
      </c>
      <c r="X26" s="325">
        <f t="shared" si="18"/>
        <v>67.26000000000022</v>
      </c>
    </row>
    <row r="27" spans="1:24" ht="15" customHeight="1">
      <c r="A27" s="18" t="s">
        <v>46</v>
      </c>
      <c r="B27" s="19">
        <v>6000</v>
      </c>
      <c r="C27" s="20">
        <v>1</v>
      </c>
      <c r="D27" s="21">
        <v>1</v>
      </c>
      <c r="E27" s="22" t="s">
        <v>16</v>
      </c>
      <c r="F27" s="142">
        <f t="shared" si="9"/>
        <v>6000</v>
      </c>
      <c r="G27" s="118">
        <f t="shared" si="10"/>
        <v>1714.2857142857142</v>
      </c>
      <c r="H27" s="23">
        <f t="shared" si="11"/>
        <v>4285.714285714285</v>
      </c>
      <c r="I27" s="180">
        <v>0</v>
      </c>
      <c r="J27" s="185"/>
      <c r="K27" s="142"/>
      <c r="L27" s="142"/>
      <c r="M27" s="142">
        <f t="shared" si="12"/>
        <v>0</v>
      </c>
      <c r="N27" s="287">
        <v>3529.9</v>
      </c>
      <c r="O27" s="20">
        <v>1</v>
      </c>
      <c r="P27" s="21">
        <v>1</v>
      </c>
      <c r="Q27" s="21" t="s">
        <v>16</v>
      </c>
      <c r="R27" s="142">
        <f t="shared" si="13"/>
        <v>3529.9</v>
      </c>
      <c r="S27" s="166">
        <f t="shared" si="14"/>
        <v>3529.9</v>
      </c>
      <c r="T27" s="118">
        <v>1714</v>
      </c>
      <c r="U27" s="23">
        <f t="shared" si="15"/>
        <v>1815.9</v>
      </c>
      <c r="V27" s="325">
        <f t="shared" si="16"/>
        <v>-1714.2857142857142</v>
      </c>
      <c r="W27" s="325">
        <f t="shared" si="17"/>
        <v>-755.8142857142852</v>
      </c>
      <c r="X27" s="325">
        <f t="shared" si="18"/>
        <v>-2470.0999999999995</v>
      </c>
    </row>
    <row r="28" spans="1:24" ht="31.5" customHeight="1" thickBot="1">
      <c r="A28" s="30" t="s">
        <v>47</v>
      </c>
      <c r="B28" s="79">
        <v>6000</v>
      </c>
      <c r="C28" s="120">
        <v>1</v>
      </c>
      <c r="D28" s="80">
        <v>1</v>
      </c>
      <c r="E28" s="22" t="s">
        <v>16</v>
      </c>
      <c r="F28" s="142">
        <f t="shared" si="9"/>
        <v>6000</v>
      </c>
      <c r="G28" s="136">
        <f t="shared" si="10"/>
        <v>1714.2857142857142</v>
      </c>
      <c r="H28" s="23">
        <f t="shared" si="11"/>
        <v>4285.714285714285</v>
      </c>
      <c r="I28" s="178">
        <v>1107.9</v>
      </c>
      <c r="J28" s="180">
        <v>99.2</v>
      </c>
      <c r="K28" s="180"/>
      <c r="L28" s="142">
        <v>500</v>
      </c>
      <c r="M28" s="142">
        <f t="shared" si="12"/>
        <v>1707.1000000000001</v>
      </c>
      <c r="N28" s="286">
        <v>700</v>
      </c>
      <c r="O28" s="120">
        <v>1</v>
      </c>
      <c r="P28" s="21">
        <v>11</v>
      </c>
      <c r="Q28" s="21" t="s">
        <v>16</v>
      </c>
      <c r="R28" s="142">
        <f t="shared" si="13"/>
        <v>7700</v>
      </c>
      <c r="S28" s="166">
        <f t="shared" si="14"/>
        <v>9407.1</v>
      </c>
      <c r="T28" s="136">
        <v>1714</v>
      </c>
      <c r="U28" s="23">
        <f t="shared" si="15"/>
        <v>7693.1</v>
      </c>
      <c r="V28" s="325">
        <f t="shared" si="16"/>
        <v>-7.185714285714084</v>
      </c>
      <c r="W28" s="325">
        <f t="shared" si="17"/>
        <v>3414.2857142857147</v>
      </c>
      <c r="X28" s="325">
        <f t="shared" si="18"/>
        <v>3407.1000000000004</v>
      </c>
    </row>
    <row r="29" spans="1:24" ht="15" customHeight="1" thickBot="1">
      <c r="A29" s="316" t="s">
        <v>59</v>
      </c>
      <c r="B29" s="317"/>
      <c r="C29" s="317"/>
      <c r="D29" s="317"/>
      <c r="E29" s="318"/>
      <c r="F29" s="147">
        <f aca="true" t="shared" si="19" ref="F29:M29">SUM(F23:F28)</f>
        <v>89000</v>
      </c>
      <c r="G29" s="26">
        <f>SUM(G23:G28)</f>
        <v>25428.571428571428</v>
      </c>
      <c r="H29" s="26">
        <f>SUM(H23:H28)</f>
        <v>63571.428571428565</v>
      </c>
      <c r="I29" s="179">
        <f t="shared" si="19"/>
        <v>12140.869999999997</v>
      </c>
      <c r="J29" s="179">
        <f t="shared" si="19"/>
        <v>12051.82</v>
      </c>
      <c r="K29" s="179">
        <f t="shared" si="19"/>
        <v>926.0799999999999</v>
      </c>
      <c r="L29" s="195">
        <f t="shared" si="19"/>
        <v>4600</v>
      </c>
      <c r="M29" s="263">
        <f t="shared" si="19"/>
        <v>29718.769999999997</v>
      </c>
      <c r="N29" s="269"/>
      <c r="O29" s="270"/>
      <c r="P29" s="270"/>
      <c r="Q29" s="270"/>
      <c r="R29" s="267">
        <f>SUM(R23:R28)</f>
        <v>62489.9</v>
      </c>
      <c r="S29" s="26">
        <f>SUM(S23:S28)</f>
        <v>92208.67</v>
      </c>
      <c r="T29" s="26">
        <f>SUM(T23:T28)</f>
        <v>25428</v>
      </c>
      <c r="U29" s="26">
        <f>SUM(U23:U28)</f>
        <v>66780.67</v>
      </c>
      <c r="V29" s="325">
        <f t="shared" si="16"/>
        <v>4290.198571428569</v>
      </c>
      <c r="W29" s="325">
        <f t="shared" si="17"/>
        <v>-1081.5285714285637</v>
      </c>
      <c r="X29" s="325">
        <f t="shared" si="18"/>
        <v>3208.6700000000055</v>
      </c>
    </row>
    <row r="30" spans="1:24" ht="15" customHeight="1" thickBot="1">
      <c r="A30" s="31" t="s">
        <v>17</v>
      </c>
      <c r="B30" s="32"/>
      <c r="C30" s="33"/>
      <c r="D30" s="34"/>
      <c r="E30" s="34"/>
      <c r="F30" s="141">
        <f aca="true" t="shared" si="20" ref="F30:M30">F29+F20</f>
        <v>536597.5</v>
      </c>
      <c r="G30" s="35">
        <f>G29+G20</f>
        <v>153313.57142857142</v>
      </c>
      <c r="H30" s="35">
        <f>H29+H20</f>
        <v>383283.9285714286</v>
      </c>
      <c r="I30" s="181">
        <f t="shared" si="20"/>
        <v>96933.85999999999</v>
      </c>
      <c r="J30" s="181">
        <f t="shared" si="20"/>
        <v>41425.5</v>
      </c>
      <c r="K30" s="181">
        <f t="shared" si="20"/>
        <v>2728.8999999999996</v>
      </c>
      <c r="L30" s="181">
        <f t="shared" si="20"/>
        <v>37779.68</v>
      </c>
      <c r="M30" s="181">
        <f t="shared" si="20"/>
        <v>178867.93999999997</v>
      </c>
      <c r="N30" s="271"/>
      <c r="O30" s="272"/>
      <c r="P30" s="272"/>
      <c r="Q30" s="272"/>
      <c r="R30" s="292">
        <f>R29+R20</f>
        <v>413011.65</v>
      </c>
      <c r="S30" s="35">
        <f>S29+S20</f>
        <v>591879.59</v>
      </c>
      <c r="T30" s="35">
        <f>T29+T20</f>
        <v>153313</v>
      </c>
      <c r="U30" s="35">
        <f>U29+U20</f>
        <v>438566.58999999997</v>
      </c>
      <c r="V30" s="325">
        <f t="shared" si="16"/>
        <v>25554.368571428553</v>
      </c>
      <c r="W30" s="325">
        <f t="shared" si="17"/>
        <v>29727.721428571444</v>
      </c>
      <c r="X30" s="325">
        <f t="shared" si="18"/>
        <v>55282.09</v>
      </c>
    </row>
    <row r="31" spans="1:24" ht="12.75">
      <c r="A31" s="72" t="s">
        <v>18</v>
      </c>
      <c r="B31" s="74"/>
      <c r="C31" s="75"/>
      <c r="D31" s="76"/>
      <c r="E31" s="76"/>
      <c r="F31" s="142"/>
      <c r="G31" s="23"/>
      <c r="H31" s="23"/>
      <c r="I31" s="191"/>
      <c r="J31" s="194"/>
      <c r="K31" s="221"/>
      <c r="L31" s="142"/>
      <c r="M31" s="194"/>
      <c r="N31" s="191"/>
      <c r="O31" s="239"/>
      <c r="P31" s="239"/>
      <c r="Q31" s="239"/>
      <c r="R31" s="142"/>
      <c r="S31" s="140"/>
      <c r="T31" s="23"/>
      <c r="U31" s="23"/>
      <c r="V31"/>
      <c r="W31"/>
      <c r="X31"/>
    </row>
    <row r="32" spans="1:24" ht="15" customHeight="1">
      <c r="A32" s="36"/>
      <c r="B32" s="37"/>
      <c r="C32" s="38"/>
      <c r="D32" s="39"/>
      <c r="E32" s="39"/>
      <c r="F32" s="143"/>
      <c r="G32" s="28"/>
      <c r="H32" s="28"/>
      <c r="I32" s="193"/>
      <c r="J32" s="144"/>
      <c r="K32" s="214"/>
      <c r="L32" s="144"/>
      <c r="M32" s="144"/>
      <c r="N32" s="242"/>
      <c r="O32" s="243"/>
      <c r="P32" s="243"/>
      <c r="Q32" s="243"/>
      <c r="R32" s="143"/>
      <c r="S32" s="301"/>
      <c r="T32" s="28"/>
      <c r="U32" s="28"/>
      <c r="V32"/>
      <c r="W32"/>
      <c r="X32"/>
    </row>
    <row r="33" spans="1:24" ht="15" customHeight="1">
      <c r="A33" s="41" t="s">
        <v>77</v>
      </c>
      <c r="B33" s="123"/>
      <c r="C33" s="124"/>
      <c r="D33" s="81"/>
      <c r="E33" s="81"/>
      <c r="F33" s="142"/>
      <c r="G33" s="23"/>
      <c r="H33" s="23"/>
      <c r="I33" s="191"/>
      <c r="J33" s="142"/>
      <c r="K33" s="140"/>
      <c r="L33" s="142"/>
      <c r="M33" s="142"/>
      <c r="N33" s="191"/>
      <c r="O33" s="239"/>
      <c r="P33" s="239"/>
      <c r="Q33" s="239"/>
      <c r="R33" s="142"/>
      <c r="S33" s="140"/>
      <c r="T33" s="23"/>
      <c r="U33" s="23"/>
      <c r="V33"/>
      <c r="W33"/>
      <c r="X33"/>
    </row>
    <row r="34" spans="1:24" s="132" customFormat="1" ht="15" customHeight="1">
      <c r="A34" s="49" t="s">
        <v>69</v>
      </c>
      <c r="B34" s="79">
        <v>20000</v>
      </c>
      <c r="C34" s="80">
        <v>0.5</v>
      </c>
      <c r="D34" s="80">
        <v>11</v>
      </c>
      <c r="E34" s="80" t="s">
        <v>13</v>
      </c>
      <c r="F34" s="144">
        <f>B34*C34*D34</f>
        <v>110000</v>
      </c>
      <c r="G34" s="130">
        <f>(F34/11)*4</f>
        <v>40000</v>
      </c>
      <c r="H34" s="130">
        <f>(F34/11)*7</f>
        <v>70000</v>
      </c>
      <c r="I34" s="306">
        <v>22320</v>
      </c>
      <c r="J34" s="144"/>
      <c r="K34" s="302">
        <v>17680</v>
      </c>
      <c r="L34" s="144"/>
      <c r="M34" s="142">
        <f aca="true" t="shared" si="21" ref="M34:M60">I34+J34+K34+L34</f>
        <v>40000</v>
      </c>
      <c r="N34" s="241">
        <v>20000</v>
      </c>
      <c r="O34" s="120">
        <v>0.33</v>
      </c>
      <c r="P34" s="21">
        <v>10</v>
      </c>
      <c r="Q34" s="80" t="s">
        <v>13</v>
      </c>
      <c r="R34" s="144">
        <f>N34*O34*P34</f>
        <v>66000</v>
      </c>
      <c r="S34" s="140">
        <f aca="true" t="shared" si="22" ref="S34:S60">M34+R34</f>
        <v>106000</v>
      </c>
      <c r="T34" s="130">
        <v>40000</v>
      </c>
      <c r="U34" s="23">
        <f>S34-T34</f>
        <v>66000</v>
      </c>
      <c r="V34" s="325">
        <f>M34-G34</f>
        <v>0</v>
      </c>
      <c r="W34" s="325">
        <f>R34-H34</f>
        <v>-4000</v>
      </c>
      <c r="X34" s="325">
        <f>SUM(V34:W34)</f>
        <v>-4000</v>
      </c>
    </row>
    <row r="35" spans="1:24" s="132" customFormat="1" ht="15" customHeight="1">
      <c r="A35" s="49" t="s">
        <v>68</v>
      </c>
      <c r="B35" s="79">
        <v>5000</v>
      </c>
      <c r="C35" s="80">
        <v>1</v>
      </c>
      <c r="D35" s="80">
        <v>11</v>
      </c>
      <c r="E35" s="80" t="s">
        <v>13</v>
      </c>
      <c r="F35" s="144">
        <f>B35*C35*D35</f>
        <v>55000</v>
      </c>
      <c r="G35" s="130">
        <f>(F35/11)*4</f>
        <v>20000</v>
      </c>
      <c r="H35" s="130">
        <f>(F35/11)*7</f>
        <v>35000</v>
      </c>
      <c r="I35" s="306">
        <v>11160</v>
      </c>
      <c r="J35" s="144"/>
      <c r="K35" s="302">
        <v>8840</v>
      </c>
      <c r="L35" s="144"/>
      <c r="M35" s="142">
        <f>I35+J35+K35+L35</f>
        <v>20000</v>
      </c>
      <c r="N35" s="241">
        <v>5000</v>
      </c>
      <c r="O35" s="80">
        <v>1</v>
      </c>
      <c r="P35" s="21">
        <v>10</v>
      </c>
      <c r="Q35" s="80" t="s">
        <v>13</v>
      </c>
      <c r="R35" s="144">
        <f aca="true" t="shared" si="23" ref="R35:R46">N35*O35*P35</f>
        <v>50000</v>
      </c>
      <c r="S35" s="140">
        <f t="shared" si="22"/>
        <v>70000</v>
      </c>
      <c r="T35" s="130">
        <v>20000</v>
      </c>
      <c r="U35" s="23">
        <f aca="true" t="shared" si="24" ref="U35:U60">S35-T35</f>
        <v>50000</v>
      </c>
      <c r="V35" s="325">
        <f aca="true" t="shared" si="25" ref="V35:V41">M35-G35</f>
        <v>0</v>
      </c>
      <c r="W35" s="325">
        <f aca="true" t="shared" si="26" ref="W35:W41">R35-H35</f>
        <v>15000</v>
      </c>
      <c r="X35" s="325">
        <f aca="true" t="shared" si="27" ref="X35:X41">SUM(V35:W35)</f>
        <v>15000</v>
      </c>
    </row>
    <row r="36" spans="1:24" s="209" customFormat="1" ht="15" customHeight="1">
      <c r="A36" s="210" t="s">
        <v>74</v>
      </c>
      <c r="B36" s="204">
        <v>6000</v>
      </c>
      <c r="C36" s="205">
        <v>1</v>
      </c>
      <c r="D36" s="205">
        <v>11</v>
      </c>
      <c r="E36" s="205" t="s">
        <v>13</v>
      </c>
      <c r="F36" s="206">
        <f>B36*C36*D36</f>
        <v>66000</v>
      </c>
      <c r="G36" s="130">
        <f>(F36/11)*4</f>
        <v>24000</v>
      </c>
      <c r="H36" s="130">
        <f>(F36/11)*7</f>
        <v>42000</v>
      </c>
      <c r="I36" s="306">
        <v>13640</v>
      </c>
      <c r="J36" s="144"/>
      <c r="K36" s="302">
        <v>10670</v>
      </c>
      <c r="L36" s="144"/>
      <c r="M36" s="142">
        <f t="shared" si="21"/>
        <v>24310</v>
      </c>
      <c r="N36" s="241"/>
      <c r="O36" s="80"/>
      <c r="P36" s="21"/>
      <c r="Q36" s="80"/>
      <c r="R36" s="144">
        <f t="shared" si="23"/>
        <v>0</v>
      </c>
      <c r="S36" s="140">
        <f t="shared" si="22"/>
        <v>24310</v>
      </c>
      <c r="T36" s="207">
        <v>24000</v>
      </c>
      <c r="U36" s="23">
        <f t="shared" si="24"/>
        <v>310</v>
      </c>
      <c r="V36" s="325">
        <f t="shared" si="25"/>
        <v>310</v>
      </c>
      <c r="W36" s="325">
        <f t="shared" si="26"/>
        <v>-42000</v>
      </c>
      <c r="X36" s="325">
        <f t="shared" si="27"/>
        <v>-41690</v>
      </c>
    </row>
    <row r="37" spans="1:24" s="212" customFormat="1" ht="15" customHeight="1">
      <c r="A37" s="210" t="s">
        <v>41</v>
      </c>
      <c r="B37" s="204">
        <v>2500</v>
      </c>
      <c r="C37" s="205">
        <v>0.5</v>
      </c>
      <c r="D37" s="205">
        <v>11</v>
      </c>
      <c r="E37" s="205" t="s">
        <v>13</v>
      </c>
      <c r="F37" s="206">
        <f>B37*C37*D37</f>
        <v>13750</v>
      </c>
      <c r="G37" s="130">
        <f>(F37/11)*4</f>
        <v>5000</v>
      </c>
      <c r="H37" s="130">
        <f>(F37/11)*7</f>
        <v>8750</v>
      </c>
      <c r="I37" s="306">
        <v>3100</v>
      </c>
      <c r="J37" s="144"/>
      <c r="K37" s="302">
        <v>2425</v>
      </c>
      <c r="L37" s="144"/>
      <c r="M37" s="142">
        <f t="shared" si="21"/>
        <v>5525</v>
      </c>
      <c r="N37" s="241">
        <v>6000</v>
      </c>
      <c r="O37" s="120">
        <v>0.33</v>
      </c>
      <c r="P37" s="21">
        <v>10</v>
      </c>
      <c r="Q37" s="80" t="s">
        <v>13</v>
      </c>
      <c r="R37" s="144">
        <f t="shared" si="23"/>
        <v>19800</v>
      </c>
      <c r="S37" s="140">
        <f t="shared" si="22"/>
        <v>25325</v>
      </c>
      <c r="T37" s="207">
        <v>5000</v>
      </c>
      <c r="U37" s="23">
        <f t="shared" si="24"/>
        <v>20325</v>
      </c>
      <c r="V37" s="325">
        <f t="shared" si="25"/>
        <v>525</v>
      </c>
      <c r="W37" s="325">
        <f t="shared" si="26"/>
        <v>11050</v>
      </c>
      <c r="X37" s="325">
        <f t="shared" si="27"/>
        <v>11575</v>
      </c>
    </row>
    <row r="38" spans="1:24" s="212" customFormat="1" ht="15" customHeight="1">
      <c r="A38" s="210" t="s">
        <v>192</v>
      </c>
      <c r="B38" s="204">
        <v>0</v>
      </c>
      <c r="C38" s="205">
        <v>0</v>
      </c>
      <c r="D38" s="205">
        <v>0</v>
      </c>
      <c r="E38" s="205">
        <v>0</v>
      </c>
      <c r="F38" s="206"/>
      <c r="G38" s="130"/>
      <c r="H38" s="130"/>
      <c r="I38" s="306"/>
      <c r="J38" s="144"/>
      <c r="K38" s="302"/>
      <c r="L38" s="144"/>
      <c r="M38" s="142"/>
      <c r="N38" s="241">
        <v>4000</v>
      </c>
      <c r="O38" s="80">
        <v>1</v>
      </c>
      <c r="P38" s="21">
        <v>6</v>
      </c>
      <c r="Q38" s="80" t="s">
        <v>13</v>
      </c>
      <c r="R38" s="144">
        <f t="shared" si="23"/>
        <v>24000</v>
      </c>
      <c r="S38" s="140">
        <f t="shared" si="22"/>
        <v>24000</v>
      </c>
      <c r="T38" s="207"/>
      <c r="U38" s="23">
        <f t="shared" si="24"/>
        <v>24000</v>
      </c>
      <c r="V38" s="325">
        <f t="shared" si="25"/>
        <v>0</v>
      </c>
      <c r="W38" s="325">
        <f t="shared" si="26"/>
        <v>24000</v>
      </c>
      <c r="X38" s="325">
        <f t="shared" si="27"/>
        <v>24000</v>
      </c>
    </row>
    <row r="39" spans="1:24" s="212" customFormat="1" ht="15" customHeight="1">
      <c r="A39" s="210" t="s">
        <v>64</v>
      </c>
      <c r="B39" s="204">
        <v>1000</v>
      </c>
      <c r="C39" s="205">
        <v>1</v>
      </c>
      <c r="D39" s="205">
        <v>11</v>
      </c>
      <c r="E39" s="205" t="s">
        <v>13</v>
      </c>
      <c r="F39" s="206">
        <v>11000</v>
      </c>
      <c r="G39" s="130">
        <f>(F39/11)*4</f>
        <v>4000</v>
      </c>
      <c r="H39" s="130">
        <f>(F39/11)*7</f>
        <v>7000</v>
      </c>
      <c r="I39" s="306">
        <v>2480</v>
      </c>
      <c r="J39" s="144"/>
      <c r="K39" s="302">
        <v>1940</v>
      </c>
      <c r="L39" s="144"/>
      <c r="M39" s="142">
        <f t="shared" si="21"/>
        <v>4420</v>
      </c>
      <c r="N39" s="241">
        <v>1500</v>
      </c>
      <c r="O39" s="80">
        <v>1</v>
      </c>
      <c r="P39" s="21">
        <v>10</v>
      </c>
      <c r="Q39" s="80" t="s">
        <v>13</v>
      </c>
      <c r="R39" s="144">
        <f t="shared" si="23"/>
        <v>15000</v>
      </c>
      <c r="S39" s="140">
        <f t="shared" si="22"/>
        <v>19420</v>
      </c>
      <c r="T39" s="207">
        <v>4000</v>
      </c>
      <c r="U39" s="23">
        <f t="shared" si="24"/>
        <v>15420</v>
      </c>
      <c r="V39" s="325">
        <f t="shared" si="25"/>
        <v>420</v>
      </c>
      <c r="W39" s="325">
        <f t="shared" si="26"/>
        <v>8000</v>
      </c>
      <c r="X39" s="325">
        <f t="shared" si="27"/>
        <v>8420</v>
      </c>
    </row>
    <row r="40" spans="1:24" s="212" customFormat="1" ht="15" customHeight="1">
      <c r="A40" s="210" t="s">
        <v>193</v>
      </c>
      <c r="B40" s="204">
        <v>0</v>
      </c>
      <c r="C40" s="205">
        <v>0</v>
      </c>
      <c r="D40" s="205">
        <v>0</v>
      </c>
      <c r="E40" s="205">
        <v>0</v>
      </c>
      <c r="F40" s="206"/>
      <c r="G40" s="130"/>
      <c r="H40" s="130"/>
      <c r="I40" s="306"/>
      <c r="J40" s="144"/>
      <c r="K40" s="302"/>
      <c r="L40" s="144"/>
      <c r="M40" s="142"/>
      <c r="N40" s="241">
        <v>500</v>
      </c>
      <c r="O40" s="80">
        <v>1</v>
      </c>
      <c r="P40" s="21">
        <v>10</v>
      </c>
      <c r="Q40" s="80" t="s">
        <v>13</v>
      </c>
      <c r="R40" s="144">
        <f t="shared" si="23"/>
        <v>5000</v>
      </c>
      <c r="S40" s="140">
        <f t="shared" si="22"/>
        <v>5000</v>
      </c>
      <c r="T40" s="207"/>
      <c r="U40" s="23">
        <f t="shared" si="24"/>
        <v>5000</v>
      </c>
      <c r="V40" s="325">
        <f t="shared" si="25"/>
        <v>0</v>
      </c>
      <c r="W40" s="325">
        <f t="shared" si="26"/>
        <v>5000</v>
      </c>
      <c r="X40" s="325">
        <f t="shared" si="27"/>
        <v>5000</v>
      </c>
    </row>
    <row r="41" spans="1:24" s="212" customFormat="1" ht="15" customHeight="1">
      <c r="A41" s="210" t="s">
        <v>194</v>
      </c>
      <c r="B41" s="204">
        <v>0</v>
      </c>
      <c r="C41" s="205">
        <v>0</v>
      </c>
      <c r="D41" s="205">
        <v>0</v>
      </c>
      <c r="E41" s="205">
        <v>0</v>
      </c>
      <c r="F41" s="206"/>
      <c r="G41" s="130"/>
      <c r="H41" s="130"/>
      <c r="I41" s="306"/>
      <c r="J41" s="144"/>
      <c r="K41" s="302"/>
      <c r="L41" s="144"/>
      <c r="M41" s="142"/>
      <c r="N41" s="241">
        <v>2500</v>
      </c>
      <c r="O41" s="80">
        <v>1</v>
      </c>
      <c r="P41" s="21">
        <v>1</v>
      </c>
      <c r="Q41" s="80" t="s">
        <v>0</v>
      </c>
      <c r="R41" s="144">
        <f t="shared" si="23"/>
        <v>2500</v>
      </c>
      <c r="S41" s="140">
        <f t="shared" si="22"/>
        <v>2500</v>
      </c>
      <c r="T41" s="207"/>
      <c r="U41" s="23">
        <f t="shared" si="24"/>
        <v>2500</v>
      </c>
      <c r="V41" s="325">
        <f t="shared" si="25"/>
        <v>0</v>
      </c>
      <c r="W41" s="325">
        <f t="shared" si="26"/>
        <v>2500</v>
      </c>
      <c r="X41" s="325">
        <f t="shared" si="27"/>
        <v>2500</v>
      </c>
    </row>
    <row r="42" spans="1:24" s="212" customFormat="1" ht="15" customHeight="1">
      <c r="A42" s="210" t="s">
        <v>195</v>
      </c>
      <c r="B42" s="204">
        <v>0</v>
      </c>
      <c r="C42" s="205">
        <v>0</v>
      </c>
      <c r="D42" s="205">
        <v>0</v>
      </c>
      <c r="E42" s="205">
        <v>0</v>
      </c>
      <c r="F42" s="206"/>
      <c r="G42" s="130"/>
      <c r="H42" s="130"/>
      <c r="I42" s="306"/>
      <c r="J42" s="144"/>
      <c r="K42" s="302"/>
      <c r="L42" s="144"/>
      <c r="M42" s="142"/>
      <c r="N42" s="241">
        <v>200</v>
      </c>
      <c r="O42" s="80">
        <v>1</v>
      </c>
      <c r="P42" s="21">
        <v>10</v>
      </c>
      <c r="Q42" s="80" t="s">
        <v>13</v>
      </c>
      <c r="R42" s="144">
        <f t="shared" si="23"/>
        <v>2000</v>
      </c>
      <c r="S42" s="140">
        <f t="shared" si="22"/>
        <v>2000</v>
      </c>
      <c r="T42" s="207"/>
      <c r="U42" s="23">
        <f t="shared" si="24"/>
        <v>2000</v>
      </c>
      <c r="V42" s="325">
        <f>M42-G42</f>
        <v>0</v>
      </c>
      <c r="W42" s="325">
        <f>R42-H42</f>
        <v>2000</v>
      </c>
      <c r="X42" s="325">
        <f>SUM(V42:W42)</f>
        <v>2000</v>
      </c>
    </row>
    <row r="43" spans="1:24" s="209" customFormat="1" ht="28.5" customHeight="1">
      <c r="A43" s="203" t="s">
        <v>32</v>
      </c>
      <c r="B43" s="204">
        <v>20000</v>
      </c>
      <c r="C43" s="205">
        <v>1</v>
      </c>
      <c r="D43" s="205">
        <v>1</v>
      </c>
      <c r="E43" s="205" t="s">
        <v>16</v>
      </c>
      <c r="F43" s="206">
        <f>B43*C43*D43</f>
        <v>20000</v>
      </c>
      <c r="G43" s="130">
        <f>F43</f>
        <v>20000</v>
      </c>
      <c r="H43" s="130"/>
      <c r="I43" s="306"/>
      <c r="J43" s="308">
        <v>17650.49</v>
      </c>
      <c r="K43" s="302">
        <v>8349.51</v>
      </c>
      <c r="L43" s="144"/>
      <c r="M43" s="142">
        <f>I43+J43+K43+L43</f>
        <v>26000</v>
      </c>
      <c r="N43" s="241"/>
      <c r="O43" s="80"/>
      <c r="P43" s="80"/>
      <c r="Q43" s="80"/>
      <c r="R43" s="206">
        <f>N43*O43*P43</f>
        <v>0</v>
      </c>
      <c r="S43" s="140">
        <f t="shared" si="22"/>
        <v>26000</v>
      </c>
      <c r="T43" s="207">
        <v>20000</v>
      </c>
      <c r="U43" s="23">
        <f t="shared" si="24"/>
        <v>6000</v>
      </c>
      <c r="V43" s="325">
        <f aca="true" t="shared" si="28" ref="V43:V49">M43-G43</f>
        <v>6000</v>
      </c>
      <c r="W43" s="325">
        <f aca="true" t="shared" si="29" ref="W43:W49">R43-H43</f>
        <v>0</v>
      </c>
      <c r="X43" s="325">
        <f aca="true" t="shared" si="30" ref="X43:X49">SUM(V43:W43)</f>
        <v>6000</v>
      </c>
    </row>
    <row r="44" spans="1:24" s="212" customFormat="1" ht="12.75">
      <c r="A44" s="210" t="s">
        <v>72</v>
      </c>
      <c r="B44" s="204">
        <v>650</v>
      </c>
      <c r="C44" s="205">
        <v>6</v>
      </c>
      <c r="D44" s="205">
        <v>1</v>
      </c>
      <c r="E44" s="205" t="s">
        <v>26</v>
      </c>
      <c r="F44" s="206">
        <f>B44*C44*D44</f>
        <v>3900</v>
      </c>
      <c r="G44" s="130">
        <f>F44</f>
        <v>3900</v>
      </c>
      <c r="H44" s="130"/>
      <c r="I44" s="307">
        <v>620</v>
      </c>
      <c r="J44" s="144"/>
      <c r="K44" s="303">
        <v>3280</v>
      </c>
      <c r="L44" s="144"/>
      <c r="M44" s="142">
        <f t="shared" si="21"/>
        <v>3900</v>
      </c>
      <c r="N44" s="241">
        <v>2500</v>
      </c>
      <c r="O44" s="80">
        <v>2</v>
      </c>
      <c r="P44" s="80">
        <v>1</v>
      </c>
      <c r="Q44" s="21" t="s">
        <v>16</v>
      </c>
      <c r="R44" s="144">
        <f t="shared" si="23"/>
        <v>5000</v>
      </c>
      <c r="S44" s="140">
        <f t="shared" si="22"/>
        <v>8900</v>
      </c>
      <c r="T44" s="207">
        <v>3900</v>
      </c>
      <c r="U44" s="23">
        <f t="shared" si="24"/>
        <v>5000</v>
      </c>
      <c r="V44" s="325">
        <f t="shared" si="28"/>
        <v>0</v>
      </c>
      <c r="W44" s="325">
        <f t="shared" si="29"/>
        <v>5000</v>
      </c>
      <c r="X44" s="325">
        <f t="shared" si="30"/>
        <v>5000</v>
      </c>
    </row>
    <row r="45" spans="1:24" s="131" customFormat="1" ht="36">
      <c r="A45" s="134" t="s">
        <v>73</v>
      </c>
      <c r="B45" s="79">
        <v>2500</v>
      </c>
      <c r="C45" s="80">
        <v>4</v>
      </c>
      <c r="D45" s="80">
        <v>1</v>
      </c>
      <c r="E45" s="80" t="s">
        <v>26</v>
      </c>
      <c r="F45" s="144">
        <f aca="true" t="shared" si="31" ref="F45:F60">B45*C45*D45</f>
        <v>10000</v>
      </c>
      <c r="G45" s="130">
        <f>F45</f>
        <v>10000</v>
      </c>
      <c r="H45" s="130"/>
      <c r="I45" s="306">
        <v>1860</v>
      </c>
      <c r="J45" s="144"/>
      <c r="K45" s="302">
        <v>8140</v>
      </c>
      <c r="L45" s="144"/>
      <c r="M45" s="142">
        <f t="shared" si="21"/>
        <v>10000</v>
      </c>
      <c r="N45" s="241"/>
      <c r="O45" s="80"/>
      <c r="P45" s="80"/>
      <c r="Q45" s="80"/>
      <c r="R45" s="144">
        <f t="shared" si="23"/>
        <v>0</v>
      </c>
      <c r="S45" s="140">
        <f t="shared" si="22"/>
        <v>10000</v>
      </c>
      <c r="T45" s="130">
        <f>S45</f>
        <v>10000</v>
      </c>
      <c r="U45" s="23">
        <f t="shared" si="24"/>
        <v>0</v>
      </c>
      <c r="V45" s="325">
        <f t="shared" si="28"/>
        <v>0</v>
      </c>
      <c r="W45" s="325">
        <f t="shared" si="29"/>
        <v>0</v>
      </c>
      <c r="X45" s="325">
        <f t="shared" si="30"/>
        <v>0</v>
      </c>
    </row>
    <row r="46" spans="1:24" s="131" customFormat="1" ht="24">
      <c r="A46" s="134" t="s">
        <v>71</v>
      </c>
      <c r="B46" s="79">
        <v>600</v>
      </c>
      <c r="C46" s="80">
        <v>6</v>
      </c>
      <c r="D46" s="80">
        <v>1</v>
      </c>
      <c r="E46" s="80" t="s">
        <v>26</v>
      </c>
      <c r="F46" s="144">
        <f t="shared" si="31"/>
        <v>3600</v>
      </c>
      <c r="G46" s="130">
        <f>F46</f>
        <v>3600</v>
      </c>
      <c r="H46" s="130"/>
      <c r="I46" s="307">
        <v>620</v>
      </c>
      <c r="J46" s="144"/>
      <c r="K46" s="303">
        <v>2980</v>
      </c>
      <c r="L46" s="144"/>
      <c r="M46" s="142">
        <f t="shared" si="21"/>
        <v>3600</v>
      </c>
      <c r="N46" s="241"/>
      <c r="O46" s="80"/>
      <c r="P46" s="80"/>
      <c r="Q46" s="80"/>
      <c r="R46" s="144">
        <f t="shared" si="23"/>
        <v>0</v>
      </c>
      <c r="S46" s="140">
        <f t="shared" si="22"/>
        <v>3600</v>
      </c>
      <c r="T46" s="130">
        <f>S46</f>
        <v>3600</v>
      </c>
      <c r="U46" s="23">
        <f t="shared" si="24"/>
        <v>0</v>
      </c>
      <c r="V46" s="325">
        <f t="shared" si="28"/>
        <v>0</v>
      </c>
      <c r="W46" s="325">
        <f t="shared" si="29"/>
        <v>0</v>
      </c>
      <c r="X46" s="325">
        <f t="shared" si="30"/>
        <v>0</v>
      </c>
    </row>
    <row r="47" spans="1:24" s="209" customFormat="1" ht="12.75">
      <c r="A47" s="203" t="s">
        <v>79</v>
      </c>
      <c r="B47" s="204">
        <v>10000</v>
      </c>
      <c r="C47" s="205">
        <v>1</v>
      </c>
      <c r="D47" s="205">
        <v>1</v>
      </c>
      <c r="E47" s="215" t="s">
        <v>16</v>
      </c>
      <c r="F47" s="206">
        <f t="shared" si="31"/>
        <v>10000</v>
      </c>
      <c r="G47" s="130">
        <f>F47/2</f>
        <v>5000</v>
      </c>
      <c r="H47" s="130">
        <f>F47/2</f>
        <v>5000</v>
      </c>
      <c r="I47" s="307">
        <v>0</v>
      </c>
      <c r="J47" s="144"/>
      <c r="K47" s="304">
        <v>5008.51</v>
      </c>
      <c r="L47" s="144"/>
      <c r="M47" s="185">
        <f t="shared" si="21"/>
        <v>5008.51</v>
      </c>
      <c r="N47" s="241">
        <v>4991.49</v>
      </c>
      <c r="O47" s="80">
        <v>1</v>
      </c>
      <c r="P47" s="80">
        <v>1</v>
      </c>
      <c r="Q47" s="21" t="s">
        <v>16</v>
      </c>
      <c r="R47" s="144">
        <f>N47*O47*P47</f>
        <v>4991.49</v>
      </c>
      <c r="S47" s="140">
        <f t="shared" si="22"/>
        <v>10000</v>
      </c>
      <c r="T47" s="207">
        <f>S47/2</f>
        <v>5000</v>
      </c>
      <c r="U47" s="23">
        <f t="shared" si="24"/>
        <v>5000</v>
      </c>
      <c r="V47" s="325">
        <f t="shared" si="28"/>
        <v>8.510000000000218</v>
      </c>
      <c r="W47" s="325">
        <f t="shared" si="29"/>
        <v>-8.510000000000218</v>
      </c>
      <c r="X47" s="325">
        <f t="shared" si="30"/>
        <v>0</v>
      </c>
    </row>
    <row r="48" spans="1:24" s="209" customFormat="1" ht="12.75">
      <c r="A48" s="203" t="s">
        <v>80</v>
      </c>
      <c r="B48" s="204">
        <v>5000</v>
      </c>
      <c r="C48" s="205">
        <v>1</v>
      </c>
      <c r="D48" s="205">
        <v>1</v>
      </c>
      <c r="E48" s="205" t="s">
        <v>16</v>
      </c>
      <c r="F48" s="206">
        <f t="shared" si="31"/>
        <v>5000</v>
      </c>
      <c r="G48" s="130">
        <f>F48/2</f>
        <v>2500</v>
      </c>
      <c r="H48" s="130">
        <f>F48/2</f>
        <v>2500</v>
      </c>
      <c r="I48" s="307">
        <v>0</v>
      </c>
      <c r="J48" s="144"/>
      <c r="K48" s="304">
        <v>2477.32</v>
      </c>
      <c r="L48" s="144"/>
      <c r="M48" s="185">
        <f t="shared" si="21"/>
        <v>2477.32</v>
      </c>
      <c r="N48" s="241">
        <v>2522.68</v>
      </c>
      <c r="O48" s="80">
        <v>1</v>
      </c>
      <c r="P48" s="80">
        <v>1</v>
      </c>
      <c r="Q48" s="80" t="s">
        <v>16</v>
      </c>
      <c r="R48" s="144">
        <f aca="true" t="shared" si="32" ref="R48:R54">N48*O48*P48</f>
        <v>2522.68</v>
      </c>
      <c r="S48" s="140">
        <f t="shared" si="22"/>
        <v>5000</v>
      </c>
      <c r="T48" s="207">
        <f>S48/2</f>
        <v>2500</v>
      </c>
      <c r="U48" s="23">
        <f t="shared" si="24"/>
        <v>2500</v>
      </c>
      <c r="V48" s="325">
        <f t="shared" si="28"/>
        <v>-22.679999999999836</v>
      </c>
      <c r="W48" s="325">
        <f t="shared" si="29"/>
        <v>22.679999999999836</v>
      </c>
      <c r="X48" s="325">
        <f t="shared" si="30"/>
        <v>0</v>
      </c>
    </row>
    <row r="49" spans="1:24" s="209" customFormat="1" ht="12.75">
      <c r="A49" s="203" t="s">
        <v>81</v>
      </c>
      <c r="B49" s="204">
        <v>8000</v>
      </c>
      <c r="C49" s="205">
        <v>1</v>
      </c>
      <c r="D49" s="205">
        <v>1</v>
      </c>
      <c r="E49" s="205"/>
      <c r="F49" s="206">
        <f t="shared" si="31"/>
        <v>8000</v>
      </c>
      <c r="G49" s="130">
        <f>F49/2</f>
        <v>4000</v>
      </c>
      <c r="H49" s="130">
        <f>F49/2</f>
        <v>4000</v>
      </c>
      <c r="I49" s="307">
        <v>0</v>
      </c>
      <c r="J49" s="144"/>
      <c r="K49" s="304">
        <v>3985.28</v>
      </c>
      <c r="L49" s="144"/>
      <c r="M49" s="185">
        <f t="shared" si="21"/>
        <v>3985.28</v>
      </c>
      <c r="N49" s="241">
        <v>4014.72</v>
      </c>
      <c r="O49" s="80">
        <v>1</v>
      </c>
      <c r="P49" s="80">
        <v>1</v>
      </c>
      <c r="Q49" s="80"/>
      <c r="R49" s="144">
        <f t="shared" si="32"/>
        <v>4014.72</v>
      </c>
      <c r="S49" s="140">
        <f t="shared" si="22"/>
        <v>8000</v>
      </c>
      <c r="T49" s="207">
        <f>S49/2</f>
        <v>4000</v>
      </c>
      <c r="U49" s="23">
        <f t="shared" si="24"/>
        <v>4000</v>
      </c>
      <c r="V49" s="325">
        <f t="shared" si="28"/>
        <v>-14.7199999999998</v>
      </c>
      <c r="W49" s="325">
        <f t="shared" si="29"/>
        <v>14.7199999999998</v>
      </c>
      <c r="X49" s="325">
        <f t="shared" si="30"/>
        <v>0</v>
      </c>
    </row>
    <row r="50" spans="1:24" s="209" customFormat="1" ht="12.75">
      <c r="A50" s="203" t="s">
        <v>82</v>
      </c>
      <c r="B50" s="204">
        <v>700</v>
      </c>
      <c r="C50" s="205">
        <v>4</v>
      </c>
      <c r="D50" s="205">
        <v>1</v>
      </c>
      <c r="E50" s="205" t="s">
        <v>26</v>
      </c>
      <c r="F50" s="206">
        <f t="shared" si="31"/>
        <v>2800</v>
      </c>
      <c r="G50" s="207">
        <f>F50/2</f>
        <v>1400</v>
      </c>
      <c r="H50" s="207">
        <f>F50/2</f>
        <v>1400</v>
      </c>
      <c r="I50" s="219">
        <v>0</v>
      </c>
      <c r="J50" s="206"/>
      <c r="K50" s="304">
        <v>1400.22</v>
      </c>
      <c r="L50" s="144"/>
      <c r="M50" s="185">
        <f t="shared" si="21"/>
        <v>1400.22</v>
      </c>
      <c r="N50" s="241">
        <v>1399.78</v>
      </c>
      <c r="O50" s="80">
        <v>1</v>
      </c>
      <c r="P50" s="80">
        <v>1</v>
      </c>
      <c r="Q50" s="80" t="s">
        <v>26</v>
      </c>
      <c r="R50" s="144">
        <f t="shared" si="32"/>
        <v>1399.78</v>
      </c>
      <c r="S50" s="140">
        <f t="shared" si="22"/>
        <v>2800</v>
      </c>
      <c r="T50" s="207">
        <f>S50/2</f>
        <v>1400</v>
      </c>
      <c r="U50" s="23">
        <f t="shared" si="24"/>
        <v>1400</v>
      </c>
      <c r="V50" s="325">
        <f>M50-G50</f>
        <v>0.22000000000002728</v>
      </c>
      <c r="W50" s="325">
        <f>R50-H50</f>
        <v>-0.22000000000002728</v>
      </c>
      <c r="X50" s="325">
        <f>SUM(V50:W50)</f>
        <v>0</v>
      </c>
    </row>
    <row r="51" spans="1:24" s="209" customFormat="1" ht="12.75">
      <c r="A51" s="203" t="s">
        <v>83</v>
      </c>
      <c r="B51" s="204">
        <v>155</v>
      </c>
      <c r="C51" s="205">
        <v>2</v>
      </c>
      <c r="D51" s="205">
        <v>1</v>
      </c>
      <c r="E51" s="205"/>
      <c r="F51" s="206">
        <f t="shared" si="31"/>
        <v>310</v>
      </c>
      <c r="G51" s="207">
        <f>F51/2</f>
        <v>155</v>
      </c>
      <c r="H51" s="207">
        <f>F51/2</f>
        <v>155</v>
      </c>
      <c r="I51" s="219">
        <v>0</v>
      </c>
      <c r="J51" s="206"/>
      <c r="K51" s="305">
        <v>161.56</v>
      </c>
      <c r="L51" s="144"/>
      <c r="M51" s="185">
        <f t="shared" si="21"/>
        <v>161.56</v>
      </c>
      <c r="N51" s="241">
        <v>148.44</v>
      </c>
      <c r="O51" s="80">
        <v>1</v>
      </c>
      <c r="P51" s="80">
        <v>1</v>
      </c>
      <c r="Q51" s="80"/>
      <c r="R51" s="144">
        <f t="shared" si="32"/>
        <v>148.44</v>
      </c>
      <c r="S51" s="140">
        <f t="shared" si="22"/>
        <v>310</v>
      </c>
      <c r="T51" s="207">
        <f>S51/2</f>
        <v>155</v>
      </c>
      <c r="U51" s="23">
        <f t="shared" si="24"/>
        <v>155</v>
      </c>
      <c r="V51" s="325">
        <f aca="true" t="shared" si="33" ref="V51:V57">M51-G51</f>
        <v>6.560000000000002</v>
      </c>
      <c r="W51" s="325">
        <f aca="true" t="shared" si="34" ref="W51:W57">R51-H51</f>
        <v>-6.560000000000002</v>
      </c>
      <c r="X51" s="325">
        <f>SUM(V51:W51)</f>
        <v>0</v>
      </c>
    </row>
    <row r="52" spans="1:24" s="209" customFormat="1" ht="12.75">
      <c r="A52" s="203" t="s">
        <v>84</v>
      </c>
      <c r="B52" s="204">
        <v>400</v>
      </c>
      <c r="C52" s="205">
        <v>4</v>
      </c>
      <c r="D52" s="205">
        <v>1</v>
      </c>
      <c r="E52" s="205"/>
      <c r="F52" s="206">
        <f t="shared" si="31"/>
        <v>1600</v>
      </c>
      <c r="G52" s="207">
        <v>800</v>
      </c>
      <c r="H52" s="207">
        <v>800</v>
      </c>
      <c r="I52" s="219">
        <v>0</v>
      </c>
      <c r="J52" s="206"/>
      <c r="K52" s="305">
        <v>807.83</v>
      </c>
      <c r="L52" s="144"/>
      <c r="M52" s="185">
        <f t="shared" si="21"/>
        <v>807.83</v>
      </c>
      <c r="N52" s="241">
        <v>792.17</v>
      </c>
      <c r="O52" s="80">
        <v>1</v>
      </c>
      <c r="P52" s="80">
        <v>1</v>
      </c>
      <c r="Q52" s="80"/>
      <c r="R52" s="144">
        <f t="shared" si="32"/>
        <v>792.17</v>
      </c>
      <c r="S52" s="140">
        <f t="shared" si="22"/>
        <v>1600</v>
      </c>
      <c r="T52" s="207">
        <v>800</v>
      </c>
      <c r="U52" s="23">
        <f t="shared" si="24"/>
        <v>800</v>
      </c>
      <c r="V52" s="325">
        <f t="shared" si="33"/>
        <v>7.830000000000041</v>
      </c>
      <c r="W52" s="325">
        <f t="shared" si="34"/>
        <v>-7.830000000000041</v>
      </c>
      <c r="X52" s="325">
        <f>SUM(V52:W52)</f>
        <v>0</v>
      </c>
    </row>
    <row r="53" spans="1:24" s="209" customFormat="1" ht="12">
      <c r="A53" s="203" t="s">
        <v>85</v>
      </c>
      <c r="B53" s="204">
        <v>200</v>
      </c>
      <c r="C53" s="205">
        <v>400</v>
      </c>
      <c r="D53" s="205">
        <v>1</v>
      </c>
      <c r="E53" s="205" t="s">
        <v>26</v>
      </c>
      <c r="F53" s="206">
        <f t="shared" si="31"/>
        <v>80000</v>
      </c>
      <c r="G53" s="207">
        <v>40000</v>
      </c>
      <c r="H53" s="207">
        <v>40000</v>
      </c>
      <c r="I53" s="219">
        <v>0</v>
      </c>
      <c r="J53" s="206"/>
      <c r="K53" s="304">
        <v>40014.28</v>
      </c>
      <c r="L53" s="144"/>
      <c r="M53" s="185">
        <f t="shared" si="21"/>
        <v>40014.28</v>
      </c>
      <c r="N53" s="241">
        <v>39985.72</v>
      </c>
      <c r="O53" s="80">
        <v>1</v>
      </c>
      <c r="P53" s="80">
        <v>1</v>
      </c>
      <c r="Q53" s="80" t="s">
        <v>26</v>
      </c>
      <c r="R53" s="144">
        <f t="shared" si="32"/>
        <v>39985.72</v>
      </c>
      <c r="S53" s="140">
        <f t="shared" si="22"/>
        <v>80000</v>
      </c>
      <c r="T53" s="207">
        <v>40000</v>
      </c>
      <c r="U53" s="23">
        <f t="shared" si="24"/>
        <v>40000</v>
      </c>
      <c r="V53" s="325">
        <f t="shared" si="33"/>
        <v>14.279999999998836</v>
      </c>
      <c r="W53" s="325">
        <f t="shared" si="34"/>
        <v>-14.279999999998836</v>
      </c>
      <c r="X53" s="325">
        <f>SUM(V53:W53)</f>
        <v>0</v>
      </c>
    </row>
    <row r="54" spans="1:24" s="40" customFormat="1" ht="12">
      <c r="A54" s="134" t="s">
        <v>3</v>
      </c>
      <c r="B54" s="79">
        <v>20000</v>
      </c>
      <c r="C54" s="80">
        <v>1</v>
      </c>
      <c r="D54" s="80">
        <v>1</v>
      </c>
      <c r="E54" s="21" t="s">
        <v>26</v>
      </c>
      <c r="F54" s="142">
        <f t="shared" si="31"/>
        <v>20000</v>
      </c>
      <c r="G54" s="23">
        <f>F54</f>
        <v>20000</v>
      </c>
      <c r="H54" s="23"/>
      <c r="I54" s="217">
        <v>4745.73</v>
      </c>
      <c r="J54" s="142"/>
      <c r="K54" s="140"/>
      <c r="L54" s="142"/>
      <c r="M54" s="142">
        <f t="shared" si="21"/>
        <v>4745.73</v>
      </c>
      <c r="N54" s="241">
        <v>0</v>
      </c>
      <c r="O54" s="80">
        <v>1</v>
      </c>
      <c r="P54" s="80">
        <v>1</v>
      </c>
      <c r="Q54" s="21" t="s">
        <v>26</v>
      </c>
      <c r="R54" s="144">
        <f t="shared" si="32"/>
        <v>0</v>
      </c>
      <c r="S54" s="140">
        <f t="shared" si="22"/>
        <v>4745.73</v>
      </c>
      <c r="T54" s="23">
        <v>20000</v>
      </c>
      <c r="U54" s="23">
        <f t="shared" si="24"/>
        <v>-15254.27</v>
      </c>
      <c r="V54" s="325">
        <f t="shared" si="33"/>
        <v>-15254.27</v>
      </c>
      <c r="W54" s="325">
        <f t="shared" si="34"/>
        <v>0</v>
      </c>
      <c r="X54" s="325">
        <f>SUM(V54:W54)</f>
        <v>-15254.27</v>
      </c>
    </row>
    <row r="55" spans="1:24" s="169" customFormat="1" ht="21.75">
      <c r="A55" s="203" t="s">
        <v>2</v>
      </c>
      <c r="B55" s="204">
        <v>1000</v>
      </c>
      <c r="C55" s="205">
        <v>3</v>
      </c>
      <c r="D55" s="205">
        <v>14</v>
      </c>
      <c r="E55" s="215" t="s">
        <v>13</v>
      </c>
      <c r="F55" s="185">
        <f t="shared" si="31"/>
        <v>42000</v>
      </c>
      <c r="G55" s="172">
        <f aca="true" t="shared" si="35" ref="G55:G60">(F55/14)*4</f>
        <v>12000</v>
      </c>
      <c r="H55" s="172">
        <f aca="true" t="shared" si="36" ref="H55:H60">(F55/14)*10</f>
        <v>30000</v>
      </c>
      <c r="I55" s="218">
        <v>7000</v>
      </c>
      <c r="J55" s="232">
        <v>4000</v>
      </c>
      <c r="K55" s="302"/>
      <c r="L55" s="142"/>
      <c r="M55" s="185">
        <f t="shared" si="21"/>
        <v>11000</v>
      </c>
      <c r="N55" s="241">
        <v>1000</v>
      </c>
      <c r="O55" s="80">
        <v>3</v>
      </c>
      <c r="P55" s="21">
        <v>11</v>
      </c>
      <c r="Q55" s="21" t="s">
        <v>13</v>
      </c>
      <c r="R55" s="185">
        <f aca="true" t="shared" si="37" ref="R55:R60">N55*O55*P55</f>
        <v>33000</v>
      </c>
      <c r="S55" s="140">
        <f t="shared" si="22"/>
        <v>44000</v>
      </c>
      <c r="T55" s="172">
        <v>12000</v>
      </c>
      <c r="U55" s="172">
        <f t="shared" si="24"/>
        <v>32000</v>
      </c>
      <c r="V55" s="325">
        <f>M55-G55</f>
        <v>-1000</v>
      </c>
      <c r="W55" s="325">
        <f>R55-H55</f>
        <v>3000</v>
      </c>
      <c r="X55" s="325">
        <f>SUM(V55:W55)</f>
        <v>2000</v>
      </c>
    </row>
    <row r="56" spans="1:24" ht="12">
      <c r="A56" s="73" t="s">
        <v>7</v>
      </c>
      <c r="B56" s="79">
        <v>2000</v>
      </c>
      <c r="C56" s="80">
        <v>2</v>
      </c>
      <c r="D56" s="80">
        <v>14</v>
      </c>
      <c r="E56" s="21" t="s">
        <v>13</v>
      </c>
      <c r="F56" s="142">
        <f t="shared" si="31"/>
        <v>56000</v>
      </c>
      <c r="G56" s="23">
        <f t="shared" si="35"/>
        <v>16000</v>
      </c>
      <c r="H56" s="23">
        <f t="shared" si="36"/>
        <v>40000</v>
      </c>
      <c r="I56" s="220">
        <v>0</v>
      </c>
      <c r="J56" s="142"/>
      <c r="K56" s="302">
        <v>9000</v>
      </c>
      <c r="L56" s="142"/>
      <c r="M56" s="142">
        <f t="shared" si="21"/>
        <v>9000</v>
      </c>
      <c r="N56" s="241">
        <v>2000</v>
      </c>
      <c r="O56" s="120">
        <v>1.5</v>
      </c>
      <c r="P56" s="21">
        <v>11</v>
      </c>
      <c r="Q56" s="21" t="s">
        <v>13</v>
      </c>
      <c r="R56" s="142">
        <f t="shared" si="37"/>
        <v>33000</v>
      </c>
      <c r="S56" s="140">
        <f t="shared" si="22"/>
        <v>42000</v>
      </c>
      <c r="T56" s="23">
        <v>16000</v>
      </c>
      <c r="U56" s="23">
        <f t="shared" si="24"/>
        <v>26000</v>
      </c>
      <c r="V56" s="325">
        <f aca="true" t="shared" si="38" ref="V56:V62">M56-G56</f>
        <v>-7000</v>
      </c>
      <c r="W56" s="325">
        <f aca="true" t="shared" si="39" ref="W56:W62">R56-H56</f>
        <v>-7000</v>
      </c>
      <c r="X56" s="325">
        <f aca="true" t="shared" si="40" ref="X56:X62">SUM(V56:W56)</f>
        <v>-14000</v>
      </c>
    </row>
    <row r="57" spans="1:24" ht="12">
      <c r="A57" s="73" t="s">
        <v>30</v>
      </c>
      <c r="B57" s="90">
        <v>800</v>
      </c>
      <c r="C57" s="80">
        <v>2</v>
      </c>
      <c r="D57" s="80">
        <v>14</v>
      </c>
      <c r="E57" s="21" t="s">
        <v>13</v>
      </c>
      <c r="F57" s="142">
        <f t="shared" si="31"/>
        <v>22400</v>
      </c>
      <c r="G57" s="23">
        <f t="shared" si="35"/>
        <v>6400</v>
      </c>
      <c r="H57" s="23">
        <f t="shared" si="36"/>
        <v>16000</v>
      </c>
      <c r="I57" s="297">
        <v>3960.93</v>
      </c>
      <c r="J57" s="229">
        <v>1882.91</v>
      </c>
      <c r="K57" s="303">
        <v>126.09</v>
      </c>
      <c r="L57" s="142">
        <v>200</v>
      </c>
      <c r="M57" s="142">
        <f t="shared" si="21"/>
        <v>6169.93</v>
      </c>
      <c r="N57" s="244">
        <v>600</v>
      </c>
      <c r="O57" s="80">
        <v>2</v>
      </c>
      <c r="P57" s="21">
        <v>11</v>
      </c>
      <c r="Q57" s="21" t="s">
        <v>13</v>
      </c>
      <c r="R57" s="142">
        <f t="shared" si="37"/>
        <v>13200</v>
      </c>
      <c r="S57" s="140">
        <f t="shared" si="22"/>
        <v>19369.93</v>
      </c>
      <c r="T57" s="23">
        <v>6400</v>
      </c>
      <c r="U57" s="23">
        <f t="shared" si="24"/>
        <v>12969.93</v>
      </c>
      <c r="V57" s="325">
        <f t="shared" si="38"/>
        <v>-230.0699999999997</v>
      </c>
      <c r="W57" s="325">
        <f t="shared" si="39"/>
        <v>-2800</v>
      </c>
      <c r="X57" s="325">
        <f t="shared" si="40"/>
        <v>-3030.0699999999997</v>
      </c>
    </row>
    <row r="58" spans="1:24" s="169" customFormat="1" ht="12">
      <c r="A58" s="203" t="s">
        <v>6</v>
      </c>
      <c r="B58" s="216">
        <v>1200</v>
      </c>
      <c r="C58" s="205">
        <v>2</v>
      </c>
      <c r="D58" s="205">
        <v>14</v>
      </c>
      <c r="E58" s="215" t="s">
        <v>13</v>
      </c>
      <c r="F58" s="185">
        <f t="shared" si="31"/>
        <v>33600</v>
      </c>
      <c r="G58" s="172">
        <f t="shared" si="35"/>
        <v>9600</v>
      </c>
      <c r="H58" s="172">
        <f t="shared" si="36"/>
        <v>24000</v>
      </c>
      <c r="I58" s="218">
        <v>2262</v>
      </c>
      <c r="J58" s="185">
        <v>0</v>
      </c>
      <c r="K58" s="140"/>
      <c r="L58" s="142"/>
      <c r="M58" s="185">
        <f t="shared" si="21"/>
        <v>2262</v>
      </c>
      <c r="N58" s="244">
        <v>1200</v>
      </c>
      <c r="O58" s="80">
        <v>2</v>
      </c>
      <c r="P58" s="21">
        <v>11</v>
      </c>
      <c r="Q58" s="21" t="s">
        <v>13</v>
      </c>
      <c r="R58" s="142">
        <f t="shared" si="37"/>
        <v>26400</v>
      </c>
      <c r="S58" s="140">
        <f t="shared" si="22"/>
        <v>28662</v>
      </c>
      <c r="T58" s="172">
        <v>9600</v>
      </c>
      <c r="U58" s="23">
        <f t="shared" si="24"/>
        <v>19062</v>
      </c>
      <c r="V58" s="325">
        <f t="shared" si="38"/>
        <v>-7338</v>
      </c>
      <c r="W58" s="325">
        <f t="shared" si="39"/>
        <v>2400</v>
      </c>
      <c r="X58" s="325">
        <f t="shared" si="40"/>
        <v>-4938</v>
      </c>
    </row>
    <row r="59" spans="1:24" s="40" customFormat="1" ht="21.75">
      <c r="A59" s="73" t="s">
        <v>8</v>
      </c>
      <c r="B59" s="93">
        <v>150</v>
      </c>
      <c r="C59" s="94">
        <v>100</v>
      </c>
      <c r="D59" s="64">
        <v>1</v>
      </c>
      <c r="E59" s="21" t="s">
        <v>26</v>
      </c>
      <c r="F59" s="142">
        <f t="shared" si="31"/>
        <v>15000</v>
      </c>
      <c r="G59" s="23">
        <f t="shared" si="35"/>
        <v>4285.714285714285</v>
      </c>
      <c r="H59" s="23">
        <f t="shared" si="36"/>
        <v>10714.285714285714</v>
      </c>
      <c r="I59" s="220">
        <v>0</v>
      </c>
      <c r="J59" s="142"/>
      <c r="K59" s="140"/>
      <c r="L59" s="142"/>
      <c r="M59" s="142">
        <f t="shared" si="21"/>
        <v>0</v>
      </c>
      <c r="N59" s="245">
        <v>300</v>
      </c>
      <c r="O59" s="21">
        <v>100</v>
      </c>
      <c r="P59" s="246">
        <v>1</v>
      </c>
      <c r="Q59" s="21" t="s">
        <v>26</v>
      </c>
      <c r="R59" s="142">
        <f t="shared" si="37"/>
        <v>30000</v>
      </c>
      <c r="S59" s="140">
        <f t="shared" si="22"/>
        <v>30000</v>
      </c>
      <c r="T59" s="23">
        <v>4286</v>
      </c>
      <c r="U59" s="23">
        <f t="shared" si="24"/>
        <v>25714</v>
      </c>
      <c r="V59" s="325">
        <f t="shared" si="38"/>
        <v>-4285.714285714285</v>
      </c>
      <c r="W59" s="325">
        <f t="shared" si="39"/>
        <v>19285.714285714286</v>
      </c>
      <c r="X59" s="325">
        <f t="shared" si="40"/>
        <v>15000</v>
      </c>
    </row>
    <row r="60" spans="1:24" s="40" customFormat="1" ht="33">
      <c r="A60" s="73" t="s">
        <v>29</v>
      </c>
      <c r="B60" s="93">
        <v>300</v>
      </c>
      <c r="C60" s="64">
        <v>1</v>
      </c>
      <c r="D60" s="64">
        <v>14</v>
      </c>
      <c r="E60" s="21" t="s">
        <v>26</v>
      </c>
      <c r="F60" s="142">
        <f t="shared" si="31"/>
        <v>4200</v>
      </c>
      <c r="G60" s="23">
        <f t="shared" si="35"/>
        <v>1200</v>
      </c>
      <c r="H60" s="23">
        <f t="shared" si="36"/>
        <v>3000</v>
      </c>
      <c r="I60" s="220">
        <v>160</v>
      </c>
      <c r="J60" s="142"/>
      <c r="K60" s="140"/>
      <c r="L60" s="142"/>
      <c r="M60" s="142">
        <f t="shared" si="21"/>
        <v>160</v>
      </c>
      <c r="N60" s="245">
        <v>500</v>
      </c>
      <c r="O60" s="246">
        <v>1</v>
      </c>
      <c r="P60" s="21">
        <v>1</v>
      </c>
      <c r="Q60" s="21" t="s">
        <v>26</v>
      </c>
      <c r="R60" s="142">
        <f t="shared" si="37"/>
        <v>500</v>
      </c>
      <c r="S60" s="140">
        <f t="shared" si="22"/>
        <v>660</v>
      </c>
      <c r="T60" s="23">
        <v>1200</v>
      </c>
      <c r="U60" s="23">
        <f t="shared" si="24"/>
        <v>-540</v>
      </c>
      <c r="V60" s="325">
        <f t="shared" si="38"/>
        <v>-1040</v>
      </c>
      <c r="W60" s="325">
        <f t="shared" si="39"/>
        <v>-2500</v>
      </c>
      <c r="X60" s="325">
        <f t="shared" si="40"/>
        <v>-3540</v>
      </c>
    </row>
    <row r="61" spans="1:24" s="40" customFormat="1" ht="12" thickBot="1">
      <c r="A61" s="73"/>
      <c r="B61" s="19"/>
      <c r="C61" s="20"/>
      <c r="D61" s="21"/>
      <c r="E61" s="21"/>
      <c r="F61" s="142"/>
      <c r="G61" s="23"/>
      <c r="H61" s="23"/>
      <c r="I61" s="191"/>
      <c r="J61" s="142"/>
      <c r="K61" s="140"/>
      <c r="L61" s="142"/>
      <c r="M61" s="142"/>
      <c r="N61" s="240"/>
      <c r="O61" s="20"/>
      <c r="P61" s="21"/>
      <c r="Q61" s="21"/>
      <c r="R61" s="142"/>
      <c r="S61" s="140"/>
      <c r="T61" s="23"/>
      <c r="U61" s="23"/>
      <c r="V61" s="325">
        <f t="shared" si="38"/>
        <v>0</v>
      </c>
      <c r="W61" s="325">
        <f t="shared" si="39"/>
        <v>0</v>
      </c>
      <c r="X61" s="325">
        <f t="shared" si="40"/>
        <v>0</v>
      </c>
    </row>
    <row r="62" spans="1:24" s="40" customFormat="1" ht="12" thickBot="1">
      <c r="A62" s="319" t="s">
        <v>61</v>
      </c>
      <c r="B62" s="320"/>
      <c r="C62" s="320"/>
      <c r="D62" s="320"/>
      <c r="E62" s="321"/>
      <c r="F62" s="145">
        <f aca="true" t="shared" si="41" ref="F62:M62">SUM(F34:F61)</f>
        <v>594160</v>
      </c>
      <c r="G62" s="114">
        <f t="shared" si="41"/>
        <v>253840.7142857143</v>
      </c>
      <c r="H62" s="115">
        <f t="shared" si="41"/>
        <v>340319.28571428574</v>
      </c>
      <c r="I62" s="196">
        <f t="shared" si="41"/>
        <v>73928.65999999999</v>
      </c>
      <c r="J62" s="182">
        <f t="shared" si="41"/>
        <v>23533.4</v>
      </c>
      <c r="K62" s="223">
        <f t="shared" si="41"/>
        <v>127285.6</v>
      </c>
      <c r="L62" s="182">
        <f t="shared" si="41"/>
        <v>200</v>
      </c>
      <c r="M62" s="273">
        <f t="shared" si="41"/>
        <v>224947.66</v>
      </c>
      <c r="N62" s="274"/>
      <c r="O62" s="275"/>
      <c r="P62" s="275"/>
      <c r="Q62" s="275"/>
      <c r="R62" s="276">
        <f>SUM(R34:R61)</f>
        <v>379255</v>
      </c>
      <c r="S62" s="277">
        <f>SUM(S34:S61)</f>
        <v>604202.66</v>
      </c>
      <c r="T62" s="114">
        <f>SUM(T34:T61)</f>
        <v>253841</v>
      </c>
      <c r="U62" s="114">
        <f>SUM(U34:U61)</f>
        <v>350361.66</v>
      </c>
      <c r="V62" s="325">
        <f t="shared" si="38"/>
        <v>-28893.054285714286</v>
      </c>
      <c r="W62" s="325">
        <f t="shared" si="39"/>
        <v>38935.71428571426</v>
      </c>
      <c r="X62" s="325">
        <f t="shared" si="40"/>
        <v>10042.659999999974</v>
      </c>
    </row>
    <row r="63" spans="1:21" s="48" customFormat="1" ht="10.5">
      <c r="A63" s="87"/>
      <c r="B63" s="83"/>
      <c r="C63" s="86"/>
      <c r="D63" s="84"/>
      <c r="E63" s="84"/>
      <c r="F63" s="146"/>
      <c r="G63" s="88"/>
      <c r="H63" s="88"/>
      <c r="I63" s="197"/>
      <c r="J63" s="183"/>
      <c r="K63" s="166"/>
      <c r="L63" s="183"/>
      <c r="M63" s="183"/>
      <c r="N63" s="247"/>
      <c r="O63" s="248"/>
      <c r="P63" s="248"/>
      <c r="Q63" s="248"/>
      <c r="R63" s="293"/>
      <c r="S63" s="300"/>
      <c r="T63" s="88"/>
      <c r="U63" s="88"/>
    </row>
    <row r="64" spans="1:21" s="40" customFormat="1" ht="15" customHeight="1">
      <c r="A64" s="41" t="s">
        <v>78</v>
      </c>
      <c r="B64" s="122"/>
      <c r="C64" s="77"/>
      <c r="D64" s="78"/>
      <c r="E64" s="78"/>
      <c r="F64" s="143"/>
      <c r="G64" s="28"/>
      <c r="H64" s="28"/>
      <c r="I64" s="193"/>
      <c r="J64" s="144"/>
      <c r="K64" s="214"/>
      <c r="L64" s="144"/>
      <c r="M64" s="144"/>
      <c r="N64" s="242"/>
      <c r="O64" s="243"/>
      <c r="P64" s="243"/>
      <c r="Q64" s="243"/>
      <c r="R64" s="143"/>
      <c r="S64" s="301"/>
      <c r="T64" s="28"/>
      <c r="U64" s="28"/>
    </row>
    <row r="65" spans="1:22" s="42" customFormat="1" ht="15" customHeight="1">
      <c r="A65" s="36"/>
      <c r="B65" s="19"/>
      <c r="C65" s="43"/>
      <c r="D65" s="21"/>
      <c r="E65" s="21"/>
      <c r="F65" s="143"/>
      <c r="G65" s="28"/>
      <c r="H65" s="28"/>
      <c r="I65" s="193"/>
      <c r="J65" s="144"/>
      <c r="K65" s="214"/>
      <c r="L65" s="144"/>
      <c r="M65" s="144"/>
      <c r="N65" s="242"/>
      <c r="O65" s="243"/>
      <c r="P65" s="243"/>
      <c r="Q65" s="243"/>
      <c r="R65" s="143"/>
      <c r="S65" s="301"/>
      <c r="T65" s="28"/>
      <c r="U65" s="28"/>
      <c r="V65" s="326"/>
    </row>
    <row r="66" spans="1:24" ht="12">
      <c r="A66" s="49" t="s">
        <v>75</v>
      </c>
      <c r="B66" s="19">
        <v>10000</v>
      </c>
      <c r="C66" s="43">
        <v>1</v>
      </c>
      <c r="D66" s="21">
        <v>1</v>
      </c>
      <c r="E66" s="21" t="s">
        <v>13</v>
      </c>
      <c r="F66" s="142">
        <f aca="true" t="shared" si="42" ref="F66:F72">B66*C66*D66</f>
        <v>10000</v>
      </c>
      <c r="G66" s="23">
        <v>0</v>
      </c>
      <c r="H66" s="82">
        <f aca="true" t="shared" si="43" ref="H66:H72">F66</f>
        <v>10000</v>
      </c>
      <c r="I66" s="220">
        <v>0</v>
      </c>
      <c r="J66" s="142"/>
      <c r="K66" s="140"/>
      <c r="L66" s="142"/>
      <c r="M66" s="142">
        <f aca="true" t="shared" si="44" ref="M66:M73">I66+J66+K66+L66</f>
        <v>0</v>
      </c>
      <c r="N66" s="240">
        <v>0</v>
      </c>
      <c r="O66" s="43">
        <v>0</v>
      </c>
      <c r="P66" s="21">
        <v>0</v>
      </c>
      <c r="Q66" s="21" t="s">
        <v>13</v>
      </c>
      <c r="R66" s="142">
        <f aca="true" t="shared" si="45" ref="R66:R72">N66*O66*P66</f>
        <v>0</v>
      </c>
      <c r="S66" s="140">
        <f aca="true" t="shared" si="46" ref="S66:S72">M66+R66</f>
        <v>0</v>
      </c>
      <c r="T66" s="23">
        <v>0</v>
      </c>
      <c r="U66" s="23">
        <f aca="true" t="shared" si="47" ref="U66:U72">S66-T66</f>
        <v>0</v>
      </c>
      <c r="V66" s="325">
        <f>M66-G66</f>
        <v>0</v>
      </c>
      <c r="W66" s="325">
        <f>R66-H66</f>
        <v>-10000</v>
      </c>
      <c r="X66" s="325">
        <f>SUM(V66:W66)</f>
        <v>-10000</v>
      </c>
    </row>
    <row r="67" spans="1:24" s="40" customFormat="1" ht="33">
      <c r="A67" s="137" t="s">
        <v>1</v>
      </c>
      <c r="B67" s="19">
        <v>600</v>
      </c>
      <c r="C67" s="43">
        <v>1</v>
      </c>
      <c r="D67" s="21">
        <v>14</v>
      </c>
      <c r="E67" s="21" t="s">
        <v>13</v>
      </c>
      <c r="F67" s="142">
        <f t="shared" si="42"/>
        <v>8400</v>
      </c>
      <c r="G67" s="23">
        <v>0</v>
      </c>
      <c r="H67" s="82">
        <f t="shared" si="43"/>
        <v>8400</v>
      </c>
      <c r="I67" s="220">
        <v>0</v>
      </c>
      <c r="J67" s="142"/>
      <c r="K67" s="140"/>
      <c r="L67" s="142"/>
      <c r="M67" s="142">
        <f t="shared" si="44"/>
        <v>0</v>
      </c>
      <c r="N67" s="240">
        <v>600</v>
      </c>
      <c r="O67" s="43">
        <v>1</v>
      </c>
      <c r="P67" s="21">
        <v>6</v>
      </c>
      <c r="Q67" s="21" t="s">
        <v>13</v>
      </c>
      <c r="R67" s="142">
        <f t="shared" si="45"/>
        <v>3600</v>
      </c>
      <c r="S67" s="140">
        <f t="shared" si="46"/>
        <v>3600</v>
      </c>
      <c r="T67" s="23">
        <v>0</v>
      </c>
      <c r="U67" s="23">
        <f t="shared" si="47"/>
        <v>3600</v>
      </c>
      <c r="V67" s="325">
        <f aca="true" t="shared" si="48" ref="V67:V73">M67-G67</f>
        <v>0</v>
      </c>
      <c r="W67" s="325">
        <f aca="true" t="shared" si="49" ref="W67:W73">R67-H67</f>
        <v>-4800</v>
      </c>
      <c r="X67" s="325">
        <f aca="true" t="shared" si="50" ref="X67:X73">SUM(V67:W67)</f>
        <v>-4800</v>
      </c>
    </row>
    <row r="68" spans="1:24" s="40" customFormat="1" ht="33">
      <c r="A68" s="73" t="s">
        <v>4</v>
      </c>
      <c r="B68" s="19">
        <v>300</v>
      </c>
      <c r="C68" s="43">
        <v>6</v>
      </c>
      <c r="D68" s="21">
        <v>1</v>
      </c>
      <c r="E68" s="21" t="s">
        <v>13</v>
      </c>
      <c r="F68" s="142">
        <f t="shared" si="42"/>
        <v>1800</v>
      </c>
      <c r="G68" s="23">
        <v>0</v>
      </c>
      <c r="H68" s="82">
        <f t="shared" si="43"/>
        <v>1800</v>
      </c>
      <c r="I68" s="220">
        <v>0</v>
      </c>
      <c r="J68" s="142"/>
      <c r="K68" s="140"/>
      <c r="L68" s="142"/>
      <c r="M68" s="142">
        <f t="shared" si="44"/>
        <v>0</v>
      </c>
      <c r="N68" s="240">
        <v>0</v>
      </c>
      <c r="O68" s="43">
        <v>0</v>
      </c>
      <c r="P68" s="21">
        <v>0</v>
      </c>
      <c r="Q68" s="21" t="s">
        <v>13</v>
      </c>
      <c r="R68" s="142">
        <f t="shared" si="45"/>
        <v>0</v>
      </c>
      <c r="S68" s="140">
        <f t="shared" si="46"/>
        <v>0</v>
      </c>
      <c r="T68" s="23">
        <v>0</v>
      </c>
      <c r="U68" s="23">
        <f t="shared" si="47"/>
        <v>0</v>
      </c>
      <c r="V68" s="325">
        <f t="shared" si="48"/>
        <v>0</v>
      </c>
      <c r="W68" s="325">
        <f t="shared" si="49"/>
        <v>-1800</v>
      </c>
      <c r="X68" s="325">
        <f t="shared" si="50"/>
        <v>-1800</v>
      </c>
    </row>
    <row r="69" spans="1:24" s="40" customFormat="1" ht="39.75" customHeight="1">
      <c r="A69" s="119" t="s">
        <v>70</v>
      </c>
      <c r="B69" s="19">
        <v>20000</v>
      </c>
      <c r="C69" s="43">
        <v>1</v>
      </c>
      <c r="D69" s="21">
        <v>1</v>
      </c>
      <c r="E69" s="21" t="s">
        <v>13</v>
      </c>
      <c r="F69" s="142">
        <f t="shared" si="42"/>
        <v>20000</v>
      </c>
      <c r="G69" s="23">
        <v>0</v>
      </c>
      <c r="H69" s="82">
        <f t="shared" si="43"/>
        <v>20000</v>
      </c>
      <c r="I69" s="220">
        <v>0</v>
      </c>
      <c r="J69" s="142"/>
      <c r="K69" s="166"/>
      <c r="L69" s="142"/>
      <c r="M69" s="142">
        <f t="shared" si="44"/>
        <v>0</v>
      </c>
      <c r="N69" s="240"/>
      <c r="O69" s="43"/>
      <c r="P69" s="21"/>
      <c r="Q69" s="21"/>
      <c r="R69" s="142">
        <f t="shared" si="45"/>
        <v>0</v>
      </c>
      <c r="S69" s="140">
        <f t="shared" si="46"/>
        <v>0</v>
      </c>
      <c r="T69" s="23">
        <v>0</v>
      </c>
      <c r="U69" s="23">
        <f>S69-T69</f>
        <v>0</v>
      </c>
      <c r="V69" s="325">
        <f t="shared" si="48"/>
        <v>0</v>
      </c>
      <c r="W69" s="325">
        <f t="shared" si="49"/>
        <v>-20000</v>
      </c>
      <c r="X69" s="325">
        <f t="shared" si="50"/>
        <v>-20000</v>
      </c>
    </row>
    <row r="70" spans="1:24" s="40" customFormat="1" ht="12">
      <c r="A70" s="133" t="s">
        <v>66</v>
      </c>
      <c r="B70" s="19">
        <v>25000</v>
      </c>
      <c r="C70" s="43">
        <v>1</v>
      </c>
      <c r="D70" s="21">
        <v>1</v>
      </c>
      <c r="E70" s="21" t="s">
        <v>19</v>
      </c>
      <c r="F70" s="142">
        <f t="shared" si="42"/>
        <v>25000</v>
      </c>
      <c r="G70" s="23">
        <v>0</v>
      </c>
      <c r="H70" s="82">
        <f t="shared" si="43"/>
        <v>25000</v>
      </c>
      <c r="I70" s="220">
        <v>0</v>
      </c>
      <c r="J70" s="142"/>
      <c r="K70" s="166"/>
      <c r="L70" s="142"/>
      <c r="M70" s="142">
        <f t="shared" si="44"/>
        <v>0</v>
      </c>
      <c r="N70" s="240">
        <v>2000</v>
      </c>
      <c r="O70" s="43">
        <v>1</v>
      </c>
      <c r="P70" s="21">
        <v>1</v>
      </c>
      <c r="Q70" s="21" t="s">
        <v>19</v>
      </c>
      <c r="R70" s="142">
        <f t="shared" si="45"/>
        <v>2000</v>
      </c>
      <c r="S70" s="140">
        <f t="shared" si="46"/>
        <v>2000</v>
      </c>
      <c r="T70" s="23">
        <v>0</v>
      </c>
      <c r="U70" s="23">
        <f t="shared" si="47"/>
        <v>2000</v>
      </c>
      <c r="V70" s="325">
        <f t="shared" si="48"/>
        <v>0</v>
      </c>
      <c r="W70" s="325">
        <f t="shared" si="49"/>
        <v>-23000</v>
      </c>
      <c r="X70" s="325">
        <f t="shared" si="50"/>
        <v>-23000</v>
      </c>
    </row>
    <row r="71" spans="1:24" s="131" customFormat="1" ht="12">
      <c r="A71" s="128" t="s">
        <v>67</v>
      </c>
      <c r="B71" s="79">
        <v>5000</v>
      </c>
      <c r="C71" s="129">
        <v>2</v>
      </c>
      <c r="D71" s="80">
        <v>1</v>
      </c>
      <c r="E71" s="80" t="s">
        <v>19</v>
      </c>
      <c r="F71" s="144">
        <f t="shared" si="42"/>
        <v>10000</v>
      </c>
      <c r="G71" s="130"/>
      <c r="H71" s="82">
        <f t="shared" si="43"/>
        <v>10000</v>
      </c>
      <c r="I71" s="217">
        <v>1860</v>
      </c>
      <c r="J71" s="144"/>
      <c r="K71" s="222">
        <v>8140</v>
      </c>
      <c r="L71" s="144"/>
      <c r="M71" s="142">
        <f>I71+J71+K71+L71</f>
        <v>10000</v>
      </c>
      <c r="N71" s="241">
        <v>4000</v>
      </c>
      <c r="O71" s="129">
        <v>4</v>
      </c>
      <c r="P71" s="80">
        <v>1</v>
      </c>
      <c r="Q71" s="80" t="s">
        <v>19</v>
      </c>
      <c r="R71" s="144">
        <f>N71*O71*P71</f>
        <v>16000</v>
      </c>
      <c r="S71" s="140">
        <f t="shared" si="46"/>
        <v>26000</v>
      </c>
      <c r="T71" s="130"/>
      <c r="U71" s="23">
        <f>S71-T71</f>
        <v>26000</v>
      </c>
      <c r="V71" s="325">
        <f t="shared" si="48"/>
        <v>10000</v>
      </c>
      <c r="W71" s="325">
        <f t="shared" si="49"/>
        <v>6000</v>
      </c>
      <c r="X71" s="325">
        <f t="shared" si="50"/>
        <v>16000</v>
      </c>
    </row>
    <row r="72" spans="1:24" s="131" customFormat="1" ht="21.75">
      <c r="A72" s="73" t="s">
        <v>5</v>
      </c>
      <c r="B72" s="79">
        <v>5000</v>
      </c>
      <c r="C72" s="129">
        <v>4</v>
      </c>
      <c r="D72" s="80">
        <v>1</v>
      </c>
      <c r="E72" s="80" t="s">
        <v>19</v>
      </c>
      <c r="F72" s="144">
        <f t="shared" si="42"/>
        <v>20000</v>
      </c>
      <c r="G72" s="130">
        <v>0</v>
      </c>
      <c r="H72" s="82">
        <f t="shared" si="43"/>
        <v>20000</v>
      </c>
      <c r="I72" s="217">
        <v>4340</v>
      </c>
      <c r="J72" s="144"/>
      <c r="K72" s="222">
        <v>15660</v>
      </c>
      <c r="L72" s="144"/>
      <c r="M72" s="142">
        <f t="shared" si="44"/>
        <v>20000</v>
      </c>
      <c r="N72" s="241">
        <v>4000</v>
      </c>
      <c r="O72" s="129">
        <v>4</v>
      </c>
      <c r="P72" s="80">
        <v>1</v>
      </c>
      <c r="Q72" s="80" t="s">
        <v>19</v>
      </c>
      <c r="R72" s="144">
        <f t="shared" si="45"/>
        <v>16000</v>
      </c>
      <c r="S72" s="140">
        <f t="shared" si="46"/>
        <v>36000</v>
      </c>
      <c r="T72" s="130">
        <v>0</v>
      </c>
      <c r="U72" s="23">
        <f t="shared" si="47"/>
        <v>36000</v>
      </c>
      <c r="V72" s="325">
        <f t="shared" si="48"/>
        <v>20000</v>
      </c>
      <c r="W72" s="325">
        <f t="shared" si="49"/>
        <v>-4000</v>
      </c>
      <c r="X72" s="325">
        <f t="shared" si="50"/>
        <v>16000</v>
      </c>
    </row>
    <row r="73" spans="1:24" s="40" customFormat="1" ht="15" customHeight="1" thickBot="1">
      <c r="A73" s="18"/>
      <c r="B73" s="19">
        <v>1</v>
      </c>
      <c r="C73" s="43"/>
      <c r="D73" s="21"/>
      <c r="E73" s="21"/>
      <c r="F73" s="142"/>
      <c r="G73" s="23"/>
      <c r="H73" s="23"/>
      <c r="I73" s="191"/>
      <c r="J73" s="142"/>
      <c r="K73" s="140"/>
      <c r="L73" s="142"/>
      <c r="M73" s="142">
        <f t="shared" si="44"/>
        <v>0</v>
      </c>
      <c r="N73" s="240"/>
      <c r="O73" s="43"/>
      <c r="P73" s="21"/>
      <c r="Q73" s="21"/>
      <c r="R73" s="142"/>
      <c r="S73" s="140"/>
      <c r="T73" s="23"/>
      <c r="U73" s="23"/>
      <c r="V73" s="325">
        <f t="shared" si="48"/>
        <v>0</v>
      </c>
      <c r="W73" s="325">
        <f t="shared" si="49"/>
        <v>0</v>
      </c>
      <c r="X73" s="325">
        <f t="shared" si="50"/>
        <v>0</v>
      </c>
    </row>
    <row r="74" spans="1:24" s="48" customFormat="1" ht="15" customHeight="1" thickBot="1">
      <c r="A74" s="322" t="s">
        <v>57</v>
      </c>
      <c r="B74" s="323"/>
      <c r="C74" s="323"/>
      <c r="D74" s="323"/>
      <c r="E74" s="323"/>
      <c r="F74" s="147">
        <f aca="true" t="shared" si="51" ref="F74:M74">SUM(F66:F73)</f>
        <v>95200</v>
      </c>
      <c r="G74" s="26">
        <f t="shared" si="51"/>
        <v>0</v>
      </c>
      <c r="H74" s="113">
        <f t="shared" si="51"/>
        <v>95200</v>
      </c>
      <c r="I74" s="192">
        <f t="shared" si="51"/>
        <v>6200</v>
      </c>
      <c r="J74" s="179">
        <f t="shared" si="51"/>
        <v>0</v>
      </c>
      <c r="K74" s="224">
        <f t="shared" si="51"/>
        <v>23800</v>
      </c>
      <c r="L74" s="179">
        <f t="shared" si="51"/>
        <v>0</v>
      </c>
      <c r="M74" s="179">
        <f t="shared" si="51"/>
        <v>30000</v>
      </c>
      <c r="N74" s="265"/>
      <c r="O74" s="266"/>
      <c r="P74" s="266"/>
      <c r="Q74" s="266"/>
      <c r="R74" s="267">
        <f>SUM(R66:R73)</f>
        <v>37600</v>
      </c>
      <c r="S74" s="268">
        <f>SUM(S66:S73)</f>
        <v>67600</v>
      </c>
      <c r="T74" s="26">
        <f>SUM(T66:T73)</f>
        <v>0</v>
      </c>
      <c r="U74" s="26">
        <f>SUM(U66:U73)</f>
        <v>67600</v>
      </c>
      <c r="V74" s="325">
        <f>M74-G74</f>
        <v>30000</v>
      </c>
      <c r="W74" s="325">
        <f>R74-H74</f>
        <v>-57600</v>
      </c>
      <c r="X74" s="325">
        <f>SUM(V74:W74)</f>
        <v>-27600</v>
      </c>
    </row>
    <row r="75" spans="1:21" s="48" customFormat="1" ht="15" customHeight="1">
      <c r="A75" s="89"/>
      <c r="B75" s="44"/>
      <c r="C75" s="45"/>
      <c r="D75" s="46"/>
      <c r="E75" s="46"/>
      <c r="F75" s="148"/>
      <c r="G75" s="47"/>
      <c r="H75" s="47"/>
      <c r="I75" s="198"/>
      <c r="J75" s="184"/>
      <c r="K75" s="225"/>
      <c r="L75" s="184"/>
      <c r="M75" s="184"/>
      <c r="N75" s="237"/>
      <c r="O75" s="238"/>
      <c r="P75" s="238"/>
      <c r="Q75" s="238"/>
      <c r="R75" s="143"/>
      <c r="S75" s="301"/>
      <c r="T75" s="47"/>
      <c r="U75" s="47"/>
    </row>
    <row r="76" spans="1:21" s="40" customFormat="1" ht="10.5">
      <c r="A76" s="125" t="s">
        <v>76</v>
      </c>
      <c r="B76" s="122"/>
      <c r="C76" s="126"/>
      <c r="D76" s="127"/>
      <c r="E76" s="127"/>
      <c r="F76" s="143"/>
      <c r="G76" s="28"/>
      <c r="H76" s="28"/>
      <c r="I76" s="193"/>
      <c r="J76" s="144"/>
      <c r="K76" s="214"/>
      <c r="L76" s="144"/>
      <c r="M76" s="144"/>
      <c r="N76" s="242"/>
      <c r="O76" s="243"/>
      <c r="P76" s="243"/>
      <c r="Q76" s="243"/>
      <c r="R76" s="143"/>
      <c r="S76" s="301"/>
      <c r="T76" s="28"/>
      <c r="U76" s="230"/>
    </row>
    <row r="77" spans="1:21" s="42" customFormat="1" ht="15" customHeight="1">
      <c r="A77" s="36"/>
      <c r="B77" s="19"/>
      <c r="C77" s="20"/>
      <c r="D77" s="21"/>
      <c r="E77" s="21"/>
      <c r="F77" s="143"/>
      <c r="G77" s="28"/>
      <c r="H77" s="28"/>
      <c r="I77" s="193"/>
      <c r="J77" s="144"/>
      <c r="K77" s="214"/>
      <c r="L77" s="144"/>
      <c r="M77" s="144"/>
      <c r="N77" s="242"/>
      <c r="O77" s="243"/>
      <c r="P77" s="243"/>
      <c r="Q77" s="243"/>
      <c r="R77" s="143"/>
      <c r="S77" s="301"/>
      <c r="T77" s="28"/>
      <c r="U77" s="230"/>
    </row>
    <row r="78" spans="1:24" s="50" customFormat="1" ht="12">
      <c r="A78" s="85" t="s">
        <v>53</v>
      </c>
      <c r="B78" s="79">
        <v>25000</v>
      </c>
      <c r="C78" s="129">
        <v>4</v>
      </c>
      <c r="D78" s="80">
        <v>1</v>
      </c>
      <c r="E78" s="80" t="s">
        <v>13</v>
      </c>
      <c r="F78" s="142">
        <f>B78*C78*D78</f>
        <v>100000</v>
      </c>
      <c r="G78" s="23"/>
      <c r="H78" s="142">
        <v>100000</v>
      </c>
      <c r="I78" s="220"/>
      <c r="J78" s="142"/>
      <c r="K78" s="140"/>
      <c r="L78" s="142"/>
      <c r="M78" s="142">
        <f>I78+J78+K78+L78</f>
        <v>0</v>
      </c>
      <c r="N78" s="79">
        <v>41962.5</v>
      </c>
      <c r="O78" s="129">
        <v>1</v>
      </c>
      <c r="P78" s="80">
        <v>1</v>
      </c>
      <c r="Q78" s="80" t="s">
        <v>13</v>
      </c>
      <c r="R78" s="294">
        <f>N78*O78*P78</f>
        <v>41962.5</v>
      </c>
      <c r="S78" s="140">
        <f>M78+R78</f>
        <v>41962.5</v>
      </c>
      <c r="T78" s="23"/>
      <c r="U78" s="23">
        <f>S78-T78</f>
        <v>41962.5</v>
      </c>
      <c r="V78" s="325">
        <f>M78-G78</f>
        <v>0</v>
      </c>
      <c r="W78" s="325">
        <f>R78-H78</f>
        <v>-58037.5</v>
      </c>
      <c r="X78" s="325">
        <f>SUM(V78:W78)</f>
        <v>-58037.5</v>
      </c>
    </row>
    <row r="79" spans="1:24" s="40" customFormat="1" ht="39" customHeight="1">
      <c r="A79" s="85" t="s">
        <v>54</v>
      </c>
      <c r="B79" s="19">
        <v>7000</v>
      </c>
      <c r="C79" s="43">
        <v>2</v>
      </c>
      <c r="D79" s="21">
        <v>1</v>
      </c>
      <c r="E79" s="80" t="s">
        <v>13</v>
      </c>
      <c r="F79" s="142">
        <f>B79*C79*D79</f>
        <v>14000</v>
      </c>
      <c r="G79" s="23"/>
      <c r="H79" s="142">
        <v>14000</v>
      </c>
      <c r="I79" s="220"/>
      <c r="J79" s="142"/>
      <c r="K79" s="140"/>
      <c r="L79" s="142"/>
      <c r="M79" s="142">
        <f>I79+J79+K79+L79</f>
        <v>0</v>
      </c>
      <c r="N79" s="19">
        <v>5000</v>
      </c>
      <c r="O79" s="43">
        <v>1</v>
      </c>
      <c r="P79" s="21">
        <v>2</v>
      </c>
      <c r="Q79" s="80" t="s">
        <v>13</v>
      </c>
      <c r="R79" s="142">
        <f>N79*O79*P79</f>
        <v>10000</v>
      </c>
      <c r="S79" s="140">
        <f>M79+R79</f>
        <v>10000</v>
      </c>
      <c r="T79" s="23"/>
      <c r="U79" s="23">
        <f>S79-T79</f>
        <v>10000</v>
      </c>
      <c r="V79" s="325">
        <f aca="true" t="shared" si="52" ref="V79:V85">M79-G79</f>
        <v>0</v>
      </c>
      <c r="W79" s="325">
        <f aca="true" t="shared" si="53" ref="W79:W85">R79-H79</f>
        <v>-4000</v>
      </c>
      <c r="X79" s="325">
        <f>SUM(V79:W79)</f>
        <v>-4000</v>
      </c>
    </row>
    <row r="80" spans="1:24" s="40" customFormat="1" ht="21.75">
      <c r="A80" s="85" t="s">
        <v>86</v>
      </c>
      <c r="B80" s="19">
        <v>1000</v>
      </c>
      <c r="C80" s="43">
        <v>20</v>
      </c>
      <c r="D80" s="21">
        <v>1</v>
      </c>
      <c r="E80" s="80" t="s">
        <v>13</v>
      </c>
      <c r="F80" s="142">
        <f>B80*C80*D80</f>
        <v>20000</v>
      </c>
      <c r="G80" s="23"/>
      <c r="H80" s="142">
        <v>20000</v>
      </c>
      <c r="I80" s="220"/>
      <c r="J80" s="142"/>
      <c r="K80" s="140"/>
      <c r="L80" s="142"/>
      <c r="M80" s="142">
        <f>I80+J80+K80+L80</f>
        <v>0</v>
      </c>
      <c r="N80" s="19">
        <v>500</v>
      </c>
      <c r="O80" s="43">
        <v>5</v>
      </c>
      <c r="P80" s="21">
        <v>1</v>
      </c>
      <c r="Q80" s="80" t="s">
        <v>13</v>
      </c>
      <c r="R80" s="142">
        <f>N80*O80*P80</f>
        <v>2500</v>
      </c>
      <c r="S80" s="140">
        <f>M80+R80</f>
        <v>2500</v>
      </c>
      <c r="T80" s="23"/>
      <c r="U80" s="23">
        <f>S80-T80</f>
        <v>2500</v>
      </c>
      <c r="V80" s="325">
        <f t="shared" si="52"/>
        <v>0</v>
      </c>
      <c r="W80" s="325">
        <f t="shared" si="53"/>
        <v>-17500</v>
      </c>
      <c r="X80" s="325">
        <f>SUM(V80:W80)</f>
        <v>-17500</v>
      </c>
    </row>
    <row r="81" spans="1:24" s="40" customFormat="1" ht="33">
      <c r="A81" s="138" t="s">
        <v>65</v>
      </c>
      <c r="B81" s="19">
        <v>500</v>
      </c>
      <c r="C81" s="43">
        <v>10</v>
      </c>
      <c r="D81" s="21">
        <v>1</v>
      </c>
      <c r="E81" s="21" t="s">
        <v>26</v>
      </c>
      <c r="F81" s="142">
        <f>B81*C81*D81</f>
        <v>5000</v>
      </c>
      <c r="G81" s="23"/>
      <c r="H81" s="142">
        <v>5000</v>
      </c>
      <c r="I81" s="220"/>
      <c r="J81" s="142"/>
      <c r="K81" s="140"/>
      <c r="L81" s="142"/>
      <c r="M81" s="142">
        <f>I81+J81+K81+L81</f>
        <v>0</v>
      </c>
      <c r="N81" s="19">
        <v>0</v>
      </c>
      <c r="O81" s="43">
        <v>0</v>
      </c>
      <c r="P81" s="21">
        <v>0</v>
      </c>
      <c r="Q81" s="21" t="s">
        <v>26</v>
      </c>
      <c r="R81" s="142">
        <f>N81*O81*P81</f>
        <v>0</v>
      </c>
      <c r="S81" s="140">
        <f>M81+R81</f>
        <v>0</v>
      </c>
      <c r="T81" s="23"/>
      <c r="U81" s="23">
        <f>S81-T81</f>
        <v>0</v>
      </c>
      <c r="V81" s="325">
        <f t="shared" si="52"/>
        <v>0</v>
      </c>
      <c r="W81" s="325">
        <f t="shared" si="53"/>
        <v>-5000</v>
      </c>
      <c r="X81" s="325">
        <f>SUM(V81:W81)</f>
        <v>-5000</v>
      </c>
    </row>
    <row r="82" spans="1:24" s="40" customFormat="1" ht="15" customHeight="1" thickBot="1">
      <c r="A82" s="49"/>
      <c r="B82" s="19"/>
      <c r="C82" s="43"/>
      <c r="D82" s="21"/>
      <c r="E82" s="21"/>
      <c r="F82" s="142"/>
      <c r="G82" s="23"/>
      <c r="H82" s="23"/>
      <c r="I82" s="191"/>
      <c r="J82" s="142"/>
      <c r="K82" s="140"/>
      <c r="L82" s="142"/>
      <c r="M82" s="142"/>
      <c r="N82" s="249"/>
      <c r="O82" s="250"/>
      <c r="P82" s="250"/>
      <c r="Q82" s="250"/>
      <c r="R82" s="142"/>
      <c r="S82" s="140"/>
      <c r="T82" s="23"/>
      <c r="U82" s="23"/>
      <c r="V82" s="325">
        <f t="shared" si="52"/>
        <v>0</v>
      </c>
      <c r="W82" s="325">
        <f t="shared" si="53"/>
        <v>0</v>
      </c>
      <c r="X82" s="325">
        <f>SUM(V82:W82)</f>
        <v>0</v>
      </c>
    </row>
    <row r="83" spans="1:24" s="40" customFormat="1" ht="15" customHeight="1" thickBot="1">
      <c r="A83" s="309" t="s">
        <v>56</v>
      </c>
      <c r="B83" s="310"/>
      <c r="C83" s="310"/>
      <c r="D83" s="310"/>
      <c r="E83" s="310"/>
      <c r="F83" s="145">
        <f aca="true" t="shared" si="54" ref="F83:M83">SUM(F78:F82)</f>
        <v>139000</v>
      </c>
      <c r="G83" s="116">
        <f t="shared" si="54"/>
        <v>0</v>
      </c>
      <c r="H83" s="115">
        <f t="shared" si="54"/>
        <v>139000</v>
      </c>
      <c r="I83" s="196">
        <f t="shared" si="54"/>
        <v>0</v>
      </c>
      <c r="J83" s="182">
        <f t="shared" si="54"/>
        <v>0</v>
      </c>
      <c r="K83" s="223">
        <f t="shared" si="54"/>
        <v>0</v>
      </c>
      <c r="L83" s="182">
        <f t="shared" si="54"/>
        <v>0</v>
      </c>
      <c r="M83" s="182">
        <f t="shared" si="54"/>
        <v>0</v>
      </c>
      <c r="N83" s="278"/>
      <c r="O83" s="279"/>
      <c r="P83" s="279"/>
      <c r="Q83" s="279"/>
      <c r="R83" s="276">
        <f>SUM(R78:R82)</f>
        <v>54462.5</v>
      </c>
      <c r="S83" s="116">
        <f>SUM(S78:S82)</f>
        <v>54462.5</v>
      </c>
      <c r="T83" s="116">
        <f>SUM(T78:T82)</f>
        <v>0</v>
      </c>
      <c r="U83" s="114">
        <f>SUM(U78:U82)</f>
        <v>54462.5</v>
      </c>
      <c r="V83" s="325">
        <f t="shared" si="52"/>
        <v>0</v>
      </c>
      <c r="W83" s="325">
        <f t="shared" si="53"/>
        <v>-84537.5</v>
      </c>
      <c r="X83" s="325">
        <f>SUM(V83:W83)</f>
        <v>-84537.5</v>
      </c>
    </row>
    <row r="84" spans="1:24" s="169" customFormat="1" ht="15" customHeight="1">
      <c r="A84" s="298"/>
      <c r="B84" s="170"/>
      <c r="C84" s="170"/>
      <c r="D84" s="170"/>
      <c r="E84" s="170"/>
      <c r="F84" s="171"/>
      <c r="G84" s="172"/>
      <c r="H84" s="173"/>
      <c r="I84" s="199"/>
      <c r="J84" s="185"/>
      <c r="K84" s="166"/>
      <c r="L84" s="185"/>
      <c r="M84" s="185"/>
      <c r="N84" s="248"/>
      <c r="O84" s="248"/>
      <c r="P84" s="248"/>
      <c r="Q84" s="248"/>
      <c r="R84" s="293"/>
      <c r="S84" s="23"/>
      <c r="T84" s="172"/>
      <c r="U84" s="299"/>
      <c r="V84"/>
      <c r="W84"/>
      <c r="X84"/>
    </row>
    <row r="85" spans="1:24" s="169" customFormat="1" ht="15" customHeight="1">
      <c r="A85" s="298"/>
      <c r="B85" s="170"/>
      <c r="C85" s="170"/>
      <c r="D85" s="170"/>
      <c r="E85" s="170"/>
      <c r="F85" s="171"/>
      <c r="G85" s="172"/>
      <c r="H85" s="173"/>
      <c r="I85" s="199"/>
      <c r="J85" s="185"/>
      <c r="K85" s="166"/>
      <c r="L85" s="185"/>
      <c r="M85" s="185"/>
      <c r="N85" s="248"/>
      <c r="O85" s="248"/>
      <c r="P85" s="248"/>
      <c r="Q85" s="248"/>
      <c r="R85" s="293"/>
      <c r="S85" s="23"/>
      <c r="T85" s="172"/>
      <c r="U85" s="299"/>
      <c r="V85"/>
      <c r="W85"/>
      <c r="X85"/>
    </row>
    <row r="86" spans="1:24" s="40" customFormat="1" ht="12">
      <c r="A86" s="125" t="s">
        <v>196</v>
      </c>
      <c r="B86" s="122"/>
      <c r="C86" s="126"/>
      <c r="D86" s="127"/>
      <c r="E86" s="127"/>
      <c r="F86" s="143"/>
      <c r="G86" s="28"/>
      <c r="H86" s="28"/>
      <c r="I86" s="193"/>
      <c r="J86" s="144"/>
      <c r="K86" s="214"/>
      <c r="L86" s="144"/>
      <c r="M86" s="144"/>
      <c r="N86" s="242"/>
      <c r="O86" s="243"/>
      <c r="P86" s="243"/>
      <c r="Q86" s="243"/>
      <c r="R86" s="143"/>
      <c r="S86" s="301"/>
      <c r="T86" s="28"/>
      <c r="U86" s="230"/>
      <c r="V86"/>
      <c r="W86"/>
      <c r="X86"/>
    </row>
    <row r="87" spans="1:21" s="42" customFormat="1" ht="15" customHeight="1">
      <c r="A87" s="36"/>
      <c r="B87" s="19"/>
      <c r="C87" s="20"/>
      <c r="D87" s="21"/>
      <c r="E87" s="21"/>
      <c r="F87" s="143"/>
      <c r="G87" s="28"/>
      <c r="H87" s="28"/>
      <c r="I87" s="193"/>
      <c r="J87" s="144"/>
      <c r="K87" s="214"/>
      <c r="L87" s="144"/>
      <c r="M87" s="144"/>
      <c r="N87" s="242"/>
      <c r="O87" s="243"/>
      <c r="P87" s="243"/>
      <c r="Q87" s="243"/>
      <c r="R87" s="143"/>
      <c r="S87" s="301"/>
      <c r="T87" s="28"/>
      <c r="U87" s="230"/>
    </row>
    <row r="88" spans="1:24" s="50" customFormat="1" ht="21.75">
      <c r="A88" s="85" t="s">
        <v>197</v>
      </c>
      <c r="B88" s="19"/>
      <c r="C88" s="43"/>
      <c r="D88" s="21"/>
      <c r="E88" s="21"/>
      <c r="F88" s="142"/>
      <c r="G88" s="23"/>
      <c r="H88" s="82"/>
      <c r="I88" s="220"/>
      <c r="J88" s="142"/>
      <c r="K88" s="140"/>
      <c r="L88" s="142"/>
      <c r="M88" s="142"/>
      <c r="N88" s="240">
        <v>13873</v>
      </c>
      <c r="O88" s="43">
        <v>1</v>
      </c>
      <c r="P88" s="21">
        <v>1</v>
      </c>
      <c r="Q88" s="21" t="s">
        <v>13</v>
      </c>
      <c r="R88" s="142">
        <f aca="true" t="shared" si="55" ref="R88:R93">N88*O88*P88</f>
        <v>13873</v>
      </c>
      <c r="S88" s="140">
        <f aca="true" t="shared" si="56" ref="S88:S93">M88+R88</f>
        <v>13873</v>
      </c>
      <c r="T88" s="23"/>
      <c r="U88" s="23">
        <f aca="true" t="shared" si="57" ref="U88:U93">S88-T88</f>
        <v>13873</v>
      </c>
      <c r="V88" s="325">
        <f>M88-G88</f>
        <v>0</v>
      </c>
      <c r="W88" s="325">
        <f>R88-H88</f>
        <v>13873</v>
      </c>
      <c r="X88" s="325">
        <f>SUM(V88:W88)</f>
        <v>13873</v>
      </c>
    </row>
    <row r="89" spans="1:24" s="40" customFormat="1" ht="32.25" customHeight="1">
      <c r="A89" s="85" t="s">
        <v>198</v>
      </c>
      <c r="B89" s="19"/>
      <c r="C89" s="43"/>
      <c r="D89" s="21"/>
      <c r="E89" s="21"/>
      <c r="F89" s="142"/>
      <c r="G89" s="23"/>
      <c r="H89" s="82">
        <f>F89</f>
        <v>0</v>
      </c>
      <c r="I89" s="220"/>
      <c r="J89" s="142"/>
      <c r="K89" s="140"/>
      <c r="L89" s="142"/>
      <c r="M89" s="142"/>
      <c r="N89" s="240">
        <v>23340</v>
      </c>
      <c r="O89" s="43">
        <v>1</v>
      </c>
      <c r="P89" s="21">
        <v>1</v>
      </c>
      <c r="Q89" s="21" t="s">
        <v>13</v>
      </c>
      <c r="R89" s="142">
        <f t="shared" si="55"/>
        <v>23340</v>
      </c>
      <c r="S89" s="140">
        <f t="shared" si="56"/>
        <v>23340</v>
      </c>
      <c r="T89" s="23"/>
      <c r="U89" s="23">
        <f t="shared" si="57"/>
        <v>23340</v>
      </c>
      <c r="V89" s="325">
        <f>M89-G89</f>
        <v>0</v>
      </c>
      <c r="W89" s="325">
        <f>R89-H89</f>
        <v>23340</v>
      </c>
      <c r="X89" s="325">
        <f>SUM(V89:W89)</f>
        <v>23340</v>
      </c>
    </row>
    <row r="90" spans="1:24" s="40" customFormat="1" ht="12">
      <c r="A90" s="85" t="s">
        <v>199</v>
      </c>
      <c r="B90" s="19"/>
      <c r="C90" s="43"/>
      <c r="D90" s="21"/>
      <c r="E90" s="21"/>
      <c r="F90" s="142"/>
      <c r="G90" s="23"/>
      <c r="H90" s="82">
        <f>F90</f>
        <v>0</v>
      </c>
      <c r="I90" s="220"/>
      <c r="J90" s="142"/>
      <c r="K90" s="140"/>
      <c r="L90" s="142"/>
      <c r="M90" s="142"/>
      <c r="N90" s="240">
        <v>250</v>
      </c>
      <c r="O90" s="43">
        <v>4</v>
      </c>
      <c r="P90" s="21">
        <v>1</v>
      </c>
      <c r="Q90" s="21" t="s">
        <v>0</v>
      </c>
      <c r="R90" s="142">
        <f t="shared" si="55"/>
        <v>1000</v>
      </c>
      <c r="S90" s="140">
        <f t="shared" si="56"/>
        <v>1000</v>
      </c>
      <c r="T90" s="23"/>
      <c r="U90" s="23">
        <f t="shared" si="57"/>
        <v>1000</v>
      </c>
      <c r="V90" s="325">
        <f>M90-G90</f>
        <v>0</v>
      </c>
      <c r="W90" s="325">
        <f>R90-H90</f>
        <v>1000</v>
      </c>
      <c r="X90" s="325">
        <f>SUM(V90:W90)</f>
        <v>1000</v>
      </c>
    </row>
    <row r="91" spans="1:24" s="40" customFormat="1" ht="12">
      <c r="A91" s="85" t="s">
        <v>203</v>
      </c>
      <c r="B91" s="19"/>
      <c r="C91" s="43"/>
      <c r="D91" s="21"/>
      <c r="E91" s="21"/>
      <c r="F91" s="142"/>
      <c r="G91" s="23"/>
      <c r="H91" s="82"/>
      <c r="I91" s="220"/>
      <c r="J91" s="142"/>
      <c r="K91" s="140"/>
      <c r="L91" s="142"/>
      <c r="M91" s="142"/>
      <c r="N91" s="240">
        <v>800</v>
      </c>
      <c r="O91" s="43">
        <v>6</v>
      </c>
      <c r="P91" s="21">
        <v>1</v>
      </c>
      <c r="Q91" s="21" t="s">
        <v>13</v>
      </c>
      <c r="R91" s="142">
        <f t="shared" si="55"/>
        <v>4800</v>
      </c>
      <c r="S91" s="140">
        <f t="shared" si="56"/>
        <v>4800</v>
      </c>
      <c r="T91" s="23"/>
      <c r="U91" s="23">
        <f t="shared" si="57"/>
        <v>4800</v>
      </c>
      <c r="V91" s="325">
        <f>M91-G91</f>
        <v>0</v>
      </c>
      <c r="W91" s="325">
        <f>R91-H91</f>
        <v>4800</v>
      </c>
      <c r="X91" s="325">
        <f>SUM(V91:W91)</f>
        <v>4800</v>
      </c>
    </row>
    <row r="92" spans="1:24" s="40" customFormat="1" ht="12">
      <c r="A92" s="85" t="s">
        <v>200</v>
      </c>
      <c r="B92" s="19"/>
      <c r="C92" s="43"/>
      <c r="D92" s="21"/>
      <c r="E92" s="21"/>
      <c r="F92" s="142"/>
      <c r="G92" s="23"/>
      <c r="H92" s="82"/>
      <c r="I92" s="220"/>
      <c r="J92" s="142"/>
      <c r="K92" s="140"/>
      <c r="L92" s="142"/>
      <c r="M92" s="142"/>
      <c r="N92" s="240">
        <v>200</v>
      </c>
      <c r="O92" s="43">
        <v>4</v>
      </c>
      <c r="P92" s="21">
        <v>1</v>
      </c>
      <c r="Q92" s="21" t="s">
        <v>13</v>
      </c>
      <c r="R92" s="142">
        <f t="shared" si="55"/>
        <v>800</v>
      </c>
      <c r="S92" s="140">
        <f t="shared" si="56"/>
        <v>800</v>
      </c>
      <c r="T92" s="23"/>
      <c r="U92" s="23">
        <f t="shared" si="57"/>
        <v>800</v>
      </c>
      <c r="V92" s="325">
        <f>M92-G92</f>
        <v>0</v>
      </c>
      <c r="W92" s="325">
        <f>R92-H92</f>
        <v>800</v>
      </c>
      <c r="X92" s="325">
        <f>SUM(V92:W92)</f>
        <v>800</v>
      </c>
    </row>
    <row r="93" spans="1:24" s="40" customFormat="1" ht="12">
      <c r="A93" s="85" t="s">
        <v>205</v>
      </c>
      <c r="B93" s="19"/>
      <c r="C93" s="43"/>
      <c r="D93" s="21"/>
      <c r="E93" s="21"/>
      <c r="F93" s="142"/>
      <c r="G93" s="23"/>
      <c r="H93" s="82"/>
      <c r="I93" s="220"/>
      <c r="J93" s="142"/>
      <c r="K93" s="140"/>
      <c r="L93" s="142"/>
      <c r="M93" s="142"/>
      <c r="N93" s="240">
        <v>3000</v>
      </c>
      <c r="O93" s="43">
        <v>1</v>
      </c>
      <c r="P93" s="21">
        <v>1</v>
      </c>
      <c r="Q93" s="21" t="s">
        <v>13</v>
      </c>
      <c r="R93" s="142">
        <f t="shared" si="55"/>
        <v>3000</v>
      </c>
      <c r="S93" s="140">
        <f t="shared" si="56"/>
        <v>3000</v>
      </c>
      <c r="T93" s="23"/>
      <c r="U93" s="23">
        <f t="shared" si="57"/>
        <v>3000</v>
      </c>
      <c r="V93" s="325">
        <f>M93-G93</f>
        <v>0</v>
      </c>
      <c r="W93" s="325">
        <f>R93-H93</f>
        <v>3000</v>
      </c>
      <c r="X93" s="325">
        <f>SUM(V93:W93)</f>
        <v>3000</v>
      </c>
    </row>
    <row r="94" spans="1:21" s="40" customFormat="1" ht="15" customHeight="1" thickBot="1">
      <c r="A94" s="49"/>
      <c r="B94" s="19"/>
      <c r="C94" s="43"/>
      <c r="D94" s="21"/>
      <c r="E94" s="21"/>
      <c r="F94" s="142"/>
      <c r="G94" s="23"/>
      <c r="H94" s="23"/>
      <c r="I94" s="191"/>
      <c r="J94" s="142"/>
      <c r="K94" s="140"/>
      <c r="L94" s="142"/>
      <c r="M94" s="142"/>
      <c r="N94" s="249"/>
      <c r="O94" s="250"/>
      <c r="P94" s="250"/>
      <c r="Q94" s="250"/>
      <c r="R94" s="142"/>
      <c r="S94" s="140"/>
      <c r="T94" s="23"/>
      <c r="U94" s="172"/>
    </row>
    <row r="95" spans="1:24" s="40" customFormat="1" ht="15" customHeight="1" thickBot="1">
      <c r="A95" s="309" t="s">
        <v>56</v>
      </c>
      <c r="B95" s="310"/>
      <c r="C95" s="310"/>
      <c r="D95" s="310"/>
      <c r="E95" s="310"/>
      <c r="F95" s="145">
        <f aca="true" t="shared" si="58" ref="F95:M95">SUM(F88:F94)</f>
        <v>0</v>
      </c>
      <c r="G95" s="116">
        <f t="shared" si="58"/>
        <v>0</v>
      </c>
      <c r="H95" s="116">
        <f t="shared" si="58"/>
        <v>0</v>
      </c>
      <c r="I95" s="196">
        <f t="shared" si="58"/>
        <v>0</v>
      </c>
      <c r="J95" s="182">
        <f t="shared" si="58"/>
        <v>0</v>
      </c>
      <c r="K95" s="223">
        <f t="shared" si="58"/>
        <v>0</v>
      </c>
      <c r="L95" s="182">
        <f t="shared" si="58"/>
        <v>0</v>
      </c>
      <c r="M95" s="182">
        <f t="shared" si="58"/>
        <v>0</v>
      </c>
      <c r="N95" s="278"/>
      <c r="O95" s="279"/>
      <c r="P95" s="279"/>
      <c r="Q95" s="279"/>
      <c r="R95" s="276">
        <f>SUM(R88:R94)</f>
        <v>46813</v>
      </c>
      <c r="S95" s="116">
        <f>SUM(S88:S94)</f>
        <v>46813</v>
      </c>
      <c r="T95" s="116">
        <f>SUM(T88:T94)</f>
        <v>0</v>
      </c>
      <c r="U95" s="116">
        <f>SUM(U88:U94)</f>
        <v>46813</v>
      </c>
      <c r="V95" s="325">
        <f>M95-G95</f>
        <v>0</v>
      </c>
      <c r="W95" s="325">
        <f>R95-H95</f>
        <v>46813</v>
      </c>
      <c r="X95" s="325">
        <f>SUM(V95:W95)</f>
        <v>46813</v>
      </c>
    </row>
    <row r="96" spans="1:24" ht="15" customHeight="1" thickBot="1">
      <c r="A96" s="117"/>
      <c r="B96" s="19"/>
      <c r="C96" s="20"/>
      <c r="D96" s="21"/>
      <c r="E96" s="21"/>
      <c r="F96" s="143"/>
      <c r="G96" s="28"/>
      <c r="H96" s="28"/>
      <c r="I96" s="193"/>
      <c r="J96" s="144"/>
      <c r="K96" s="214"/>
      <c r="L96" s="144"/>
      <c r="M96" s="144"/>
      <c r="N96" s="243"/>
      <c r="O96" s="243"/>
      <c r="P96" s="243"/>
      <c r="Q96" s="243"/>
      <c r="R96" s="143"/>
      <c r="S96" s="167"/>
      <c r="T96" s="28"/>
      <c r="U96" s="28"/>
      <c r="V96" s="325"/>
      <c r="W96" s="325"/>
      <c r="X96" s="325"/>
    </row>
    <row r="97" spans="1:24" ht="15" customHeight="1" thickBot="1">
      <c r="A97" s="309" t="s">
        <v>60</v>
      </c>
      <c r="B97" s="310"/>
      <c r="C97" s="310"/>
      <c r="D97" s="310"/>
      <c r="E97" s="310"/>
      <c r="F97" s="147">
        <f>F83+F74+F62</f>
        <v>828360</v>
      </c>
      <c r="G97" s="26">
        <f>G95+G83+G74+G62</f>
        <v>253840.7142857143</v>
      </c>
      <c r="H97" s="26">
        <f>H95+H83+H74+H62</f>
        <v>574519.2857142857</v>
      </c>
      <c r="I97" s="192">
        <f>I83+I74+I62</f>
        <v>80128.65999999999</v>
      </c>
      <c r="J97" s="179">
        <f>J83+J74+J62</f>
        <v>23533.4</v>
      </c>
      <c r="K97" s="224">
        <f>K83+K74+K62</f>
        <v>151085.6</v>
      </c>
      <c r="L97" s="179">
        <f>L83+L74+L62</f>
        <v>200</v>
      </c>
      <c r="M97" s="179">
        <f>M83+M74+M62</f>
        <v>254947.66</v>
      </c>
      <c r="N97" s="280"/>
      <c r="O97" s="281"/>
      <c r="P97" s="281"/>
      <c r="Q97" s="281"/>
      <c r="R97" s="267">
        <f>R83+R74+R62+R95</f>
        <v>518130.5</v>
      </c>
      <c r="S97" s="268">
        <f>S95+S83+S74+S62</f>
        <v>773078.16</v>
      </c>
      <c r="T97" s="26">
        <f>T95+T83+T74+T62</f>
        <v>253841</v>
      </c>
      <c r="U97" s="26">
        <f>U95+U83+U74+U62</f>
        <v>519237.16</v>
      </c>
      <c r="V97" s="325">
        <f>M97-G97</f>
        <v>1106.9457142857136</v>
      </c>
      <c r="W97" s="325">
        <f>R97-H97</f>
        <v>-56388.78571428568</v>
      </c>
      <c r="X97" s="325">
        <f>SUM(V97:W97)</f>
        <v>-55281.83999999997</v>
      </c>
    </row>
    <row r="98" spans="1:24" ht="15" customHeight="1" thickBot="1">
      <c r="A98" s="36"/>
      <c r="B98" s="53"/>
      <c r="C98" s="20"/>
      <c r="D98" s="21"/>
      <c r="E98" s="21"/>
      <c r="F98" s="149"/>
      <c r="G98" s="54"/>
      <c r="H98" s="54"/>
      <c r="I98" s="187"/>
      <c r="J98" s="186"/>
      <c r="K98" s="226"/>
      <c r="L98" s="186"/>
      <c r="M98" s="186"/>
      <c r="N98" s="251"/>
      <c r="O98" s="251"/>
      <c r="P98" s="251"/>
      <c r="Q98" s="251"/>
      <c r="R98" s="149"/>
      <c r="S98" s="168"/>
      <c r="T98" s="54"/>
      <c r="U98" s="54"/>
      <c r="V98" s="325"/>
      <c r="W98" s="325"/>
      <c r="X98" s="325"/>
    </row>
    <row r="99" spans="1:24" ht="15" customHeight="1" thickBot="1">
      <c r="A99" s="55" t="s">
        <v>20</v>
      </c>
      <c r="B99" s="56"/>
      <c r="C99" s="33"/>
      <c r="D99" s="34"/>
      <c r="E99" s="34"/>
      <c r="F99" s="150">
        <f aca="true" t="shared" si="59" ref="F99:M99">F97+F30</f>
        <v>1364957.5</v>
      </c>
      <c r="G99" s="57">
        <f t="shared" si="59"/>
        <v>407154.2857142857</v>
      </c>
      <c r="H99" s="57">
        <f t="shared" si="59"/>
        <v>957803.2142857143</v>
      </c>
      <c r="I99" s="200">
        <f t="shared" si="59"/>
        <v>177062.51999999996</v>
      </c>
      <c r="J99" s="188">
        <f t="shared" si="59"/>
        <v>64958.9</v>
      </c>
      <c r="K99" s="227">
        <f t="shared" si="59"/>
        <v>153814.5</v>
      </c>
      <c r="L99" s="188">
        <f t="shared" si="59"/>
        <v>37979.68</v>
      </c>
      <c r="M99" s="188">
        <f t="shared" si="59"/>
        <v>433815.6</v>
      </c>
      <c r="N99" s="284"/>
      <c r="O99" s="285"/>
      <c r="P99" s="285"/>
      <c r="Q99" s="285"/>
      <c r="R99" s="295">
        <f>R97+R30</f>
        <v>931142.15</v>
      </c>
      <c r="S99" s="57">
        <f>S97+S30</f>
        <v>1364957.75</v>
      </c>
      <c r="T99" s="57">
        <f>T97+T30</f>
        <v>407154</v>
      </c>
      <c r="U99" s="57">
        <f>U97+U30</f>
        <v>957803.75</v>
      </c>
      <c r="V99" s="325">
        <f>M99-G99</f>
        <v>26661.314285714296</v>
      </c>
      <c r="W99" s="325">
        <f>R99-H99</f>
        <v>-26661.064285714296</v>
      </c>
      <c r="X99" s="325">
        <f>SUM(V99:W99)</f>
        <v>0.25</v>
      </c>
    </row>
    <row r="100" spans="1:24" ht="15" customHeight="1" thickBot="1">
      <c r="A100" s="36"/>
      <c r="B100" s="53"/>
      <c r="C100" s="20"/>
      <c r="D100" s="21"/>
      <c r="E100" s="21"/>
      <c r="F100" s="149"/>
      <c r="G100" s="54"/>
      <c r="H100" s="54"/>
      <c r="I100" s="187"/>
      <c r="J100" s="186"/>
      <c r="K100" s="226"/>
      <c r="L100" s="186"/>
      <c r="M100" s="186"/>
      <c r="N100" s="251"/>
      <c r="O100" s="251"/>
      <c r="P100" s="251"/>
      <c r="Q100" s="251"/>
      <c r="R100" s="149"/>
      <c r="S100" s="168"/>
      <c r="T100" s="54"/>
      <c r="U100" s="54"/>
      <c r="V100" s="325"/>
      <c r="W100" s="325"/>
      <c r="X100" s="325"/>
    </row>
    <row r="101" spans="1:24" ht="15" customHeight="1" thickBot="1">
      <c r="A101" s="58" t="s">
        <v>21</v>
      </c>
      <c r="B101" s="59"/>
      <c r="C101" s="51"/>
      <c r="D101" s="52"/>
      <c r="E101" s="52"/>
      <c r="F101" s="151">
        <f aca="true" t="shared" si="60" ref="F101:M101">F99*7%</f>
        <v>95547.02500000001</v>
      </c>
      <c r="G101" s="60">
        <f t="shared" si="60"/>
        <v>28500.8</v>
      </c>
      <c r="H101" s="60">
        <f t="shared" si="60"/>
        <v>67046.225</v>
      </c>
      <c r="I101" s="201">
        <f t="shared" si="60"/>
        <v>12394.3764</v>
      </c>
      <c r="J101" s="189">
        <f t="shared" si="60"/>
        <v>4547.1230000000005</v>
      </c>
      <c r="K101" s="228">
        <f t="shared" si="60"/>
        <v>10767.015000000001</v>
      </c>
      <c r="L101" s="189">
        <f t="shared" si="60"/>
        <v>2658.5776</v>
      </c>
      <c r="M101" s="189">
        <f t="shared" si="60"/>
        <v>30367.092</v>
      </c>
      <c r="N101" s="282"/>
      <c r="O101" s="283"/>
      <c r="P101" s="283"/>
      <c r="Q101" s="283"/>
      <c r="R101" s="296">
        <f>R99*7%</f>
        <v>65179.950500000006</v>
      </c>
      <c r="S101" s="60">
        <f>S99*7%</f>
        <v>95547.04250000001</v>
      </c>
      <c r="T101" s="60">
        <f>T99*7%</f>
        <v>28500.780000000002</v>
      </c>
      <c r="U101" s="60">
        <f>U99*7%</f>
        <v>67046.26250000001</v>
      </c>
      <c r="V101" s="325">
        <f>M101-G101</f>
        <v>1866.2920000000013</v>
      </c>
      <c r="W101" s="325">
        <f>R101-H101</f>
        <v>-1866.2744999999995</v>
      </c>
      <c r="X101" s="325">
        <f>SUM(V101:W101)</f>
        <v>0.01750000000174623</v>
      </c>
    </row>
    <row r="102" spans="1:21" ht="15" customHeight="1" thickBot="1">
      <c r="A102" s="36"/>
      <c r="B102" s="61"/>
      <c r="C102" s="20"/>
      <c r="D102" s="21"/>
      <c r="E102" s="21"/>
      <c r="F102" s="149"/>
      <c r="G102" s="54"/>
      <c r="H102" s="54"/>
      <c r="I102" s="187"/>
      <c r="J102" s="186"/>
      <c r="K102" s="226"/>
      <c r="L102" s="186"/>
      <c r="M102" s="186"/>
      <c r="N102" s="251"/>
      <c r="O102" s="251"/>
      <c r="P102" s="251"/>
      <c r="Q102" s="251"/>
      <c r="R102" s="149"/>
      <c r="S102" s="168"/>
      <c r="T102" s="54"/>
      <c r="U102" s="54"/>
    </row>
    <row r="103" spans="1:24" ht="15" customHeight="1" thickBot="1">
      <c r="A103" s="62" t="s">
        <v>22</v>
      </c>
      <c r="B103" s="63"/>
      <c r="C103" s="33"/>
      <c r="D103" s="34"/>
      <c r="E103" s="34"/>
      <c r="F103" s="150">
        <f aca="true" t="shared" si="61" ref="F103:M103">F99+F101</f>
        <v>1460504.525</v>
      </c>
      <c r="G103" s="57">
        <f t="shared" si="61"/>
        <v>435655.08571428567</v>
      </c>
      <c r="H103" s="57">
        <f t="shared" si="61"/>
        <v>1024849.4392857143</v>
      </c>
      <c r="I103" s="200">
        <f t="shared" si="61"/>
        <v>189456.89639999997</v>
      </c>
      <c r="J103" s="188">
        <f t="shared" si="61"/>
        <v>69506.023</v>
      </c>
      <c r="K103" s="227">
        <f t="shared" si="61"/>
        <v>164581.515</v>
      </c>
      <c r="L103" s="188">
        <f t="shared" si="61"/>
        <v>40638.2576</v>
      </c>
      <c r="M103" s="188">
        <f t="shared" si="61"/>
        <v>464182.692</v>
      </c>
      <c r="N103" s="284"/>
      <c r="O103" s="285"/>
      <c r="P103" s="285"/>
      <c r="Q103" s="285"/>
      <c r="R103" s="295">
        <f>R99+R101</f>
        <v>996322.1005000001</v>
      </c>
      <c r="S103" s="57">
        <f>S99+S101</f>
        <v>1460504.7925</v>
      </c>
      <c r="T103" s="57">
        <f>T99+T101</f>
        <v>435654.78</v>
      </c>
      <c r="U103" s="57">
        <f>U99+U101</f>
        <v>1024850.0125</v>
      </c>
      <c r="V103" s="325">
        <f>M103-G103</f>
        <v>28527.60628571431</v>
      </c>
      <c r="W103" s="325">
        <f>R103-H103</f>
        <v>-28527.338785714237</v>
      </c>
      <c r="X103" s="325">
        <f>SUM(V103:W103)</f>
        <v>0.2675000000745058</v>
      </c>
    </row>
    <row r="104" ht="15" customHeight="1"/>
    <row r="105" ht="15" customHeight="1"/>
    <row r="106" ht="15" customHeight="1"/>
    <row r="107" ht="15" customHeight="1">
      <c r="S107" s="190"/>
    </row>
    <row r="108" ht="15" customHeight="1">
      <c r="S108" s="190"/>
    </row>
    <row r="109" ht="15" customHeight="1"/>
    <row r="110" ht="15" customHeight="1">
      <c r="T110" s="231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</sheetData>
  <sheetProtection/>
  <mergeCells count="9">
    <mergeCell ref="A83:E83"/>
    <mergeCell ref="A97:E97"/>
    <mergeCell ref="B2:U2"/>
    <mergeCell ref="A6:E6"/>
    <mergeCell ref="A20:E20"/>
    <mergeCell ref="A29:E29"/>
    <mergeCell ref="A62:E62"/>
    <mergeCell ref="A74:E74"/>
    <mergeCell ref="A95:E95"/>
  </mergeCells>
  <printOptions gridLines="1"/>
  <pageMargins left="0.25" right="0.25" top="0.75" bottom="0.75" header="0.3" footer="0.3"/>
  <pageSetup horizontalDpi="600" verticalDpi="600" orientation="landscape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4">
      <selection activeCell="I54" sqref="I54"/>
    </sheetView>
  </sheetViews>
  <sheetFormatPr defaultColWidth="8.8515625" defaultRowHeight="12.75"/>
  <cols>
    <col min="1" max="2" width="8.8515625" style="0" customWidth="1"/>
    <col min="3" max="3" width="22.140625" style="0" bestFit="1" customWidth="1"/>
    <col min="4" max="4" width="5.421875" style="0" customWidth="1"/>
    <col min="5" max="5" width="4.421875" style="0" customWidth="1"/>
    <col min="6" max="6" width="29.00390625" style="0" customWidth="1"/>
    <col min="7" max="7" width="1.1484375" style="0" customWidth="1"/>
    <col min="8" max="8" width="1.421875" style="0" hidden="1" customWidth="1"/>
    <col min="9" max="9" width="10.421875" style="0" customWidth="1"/>
    <col min="10" max="10" width="8.8515625" style="0" customWidth="1"/>
    <col min="11" max="11" width="20.421875" style="0" customWidth="1"/>
  </cols>
  <sheetData>
    <row r="1" ht="12">
      <c r="A1" t="s">
        <v>137</v>
      </c>
    </row>
    <row r="3" ht="12">
      <c r="A3" t="s">
        <v>138</v>
      </c>
    </row>
    <row r="6" spans="1:4" ht="12">
      <c r="A6" t="s">
        <v>139</v>
      </c>
      <c r="D6" t="s">
        <v>140</v>
      </c>
    </row>
    <row r="8" spans="1:4" ht="12">
      <c r="A8" t="s">
        <v>141</v>
      </c>
      <c r="D8" s="152">
        <v>39448</v>
      </c>
    </row>
    <row r="9" ht="12">
      <c r="D9" s="152">
        <v>41944</v>
      </c>
    </row>
    <row r="10" spans="1:4" ht="12">
      <c r="A10" t="s">
        <v>142</v>
      </c>
      <c r="D10" t="s">
        <v>48</v>
      </c>
    </row>
    <row r="11" spans="1:4" ht="12">
      <c r="A11" t="s">
        <v>143</v>
      </c>
      <c r="D11">
        <v>5</v>
      </c>
    </row>
    <row r="13" ht="12">
      <c r="A13" t="s">
        <v>144</v>
      </c>
    </row>
    <row r="14" ht="12">
      <c r="A14" t="s">
        <v>145</v>
      </c>
    </row>
    <row r="16" spans="2:13" ht="13.5">
      <c r="B16" t="s">
        <v>146</v>
      </c>
      <c r="C16" t="s">
        <v>147</v>
      </c>
      <c r="E16" t="s">
        <v>148</v>
      </c>
      <c r="F16" t="s">
        <v>149</v>
      </c>
      <c r="I16" t="s">
        <v>150</v>
      </c>
      <c r="J16" t="s">
        <v>151</v>
      </c>
      <c r="K16" s="153" t="s">
        <v>152</v>
      </c>
      <c r="L16" t="s">
        <v>153</v>
      </c>
      <c r="M16" t="s">
        <v>154</v>
      </c>
    </row>
    <row r="18" spans="2:13" ht="12">
      <c r="B18" t="s">
        <v>155</v>
      </c>
      <c r="C18" t="s">
        <v>87</v>
      </c>
      <c r="E18">
        <v>5</v>
      </c>
      <c r="F18" t="s">
        <v>36</v>
      </c>
      <c r="G18" s="154"/>
      <c r="I18" s="154">
        <v>2349.29</v>
      </c>
      <c r="J18">
        <v>0</v>
      </c>
      <c r="K18" s="154">
        <v>2349.29</v>
      </c>
      <c r="L18" s="154">
        <v>2396.71</v>
      </c>
      <c r="M18" s="155">
        <v>0.495</v>
      </c>
    </row>
    <row r="19" spans="2:13" ht="12">
      <c r="B19" t="s">
        <v>155</v>
      </c>
      <c r="C19" t="s">
        <v>88</v>
      </c>
      <c r="E19">
        <v>5</v>
      </c>
      <c r="F19" t="s">
        <v>37</v>
      </c>
      <c r="G19" s="154"/>
      <c r="I19" s="154">
        <v>65546.95</v>
      </c>
      <c r="J19">
        <v>0</v>
      </c>
      <c r="K19" s="154">
        <v>65546.95</v>
      </c>
      <c r="L19" s="154">
        <v>-9546.95</v>
      </c>
      <c r="M19" s="155">
        <v>1.1705</v>
      </c>
    </row>
    <row r="20" spans="2:13" ht="12">
      <c r="B20" t="s">
        <v>155</v>
      </c>
      <c r="C20" t="s">
        <v>89</v>
      </c>
      <c r="E20">
        <v>5</v>
      </c>
      <c r="F20" t="s">
        <v>156</v>
      </c>
      <c r="G20" s="154"/>
      <c r="I20" s="154">
        <v>4162.14</v>
      </c>
      <c r="J20">
        <v>0</v>
      </c>
      <c r="K20" s="154">
        <v>4162.14</v>
      </c>
      <c r="L20" s="154">
        <v>8904.54</v>
      </c>
      <c r="M20" s="155">
        <v>0.3185</v>
      </c>
    </row>
    <row r="21" spans="7:13" s="153" customFormat="1" ht="13.5">
      <c r="G21" s="156"/>
      <c r="I21" s="156">
        <f>SUM(I18:I20)</f>
        <v>72058.37999999999</v>
      </c>
      <c r="K21" s="156">
        <f>SUM(K18:K20)</f>
        <v>72058.37999999999</v>
      </c>
      <c r="L21" s="156">
        <f>SUM(L18:L20)</f>
        <v>1754.3000000000002</v>
      </c>
      <c r="M21" s="157"/>
    </row>
    <row r="22" spans="2:13" ht="12">
      <c r="B22" t="s">
        <v>155</v>
      </c>
      <c r="C22" t="s">
        <v>90</v>
      </c>
      <c r="E22">
        <v>5</v>
      </c>
      <c r="F22" t="s">
        <v>39</v>
      </c>
      <c r="G22" s="154"/>
      <c r="I22" s="154">
        <v>5463.72</v>
      </c>
      <c r="J22">
        <v>0</v>
      </c>
      <c r="K22" s="154">
        <v>5463.72</v>
      </c>
      <c r="L22" s="154">
        <v>6482.92</v>
      </c>
      <c r="M22" s="155">
        <v>0.4573</v>
      </c>
    </row>
    <row r="23" spans="2:13" ht="12">
      <c r="B23" t="s">
        <v>155</v>
      </c>
      <c r="C23" t="s">
        <v>91</v>
      </c>
      <c r="E23">
        <v>5</v>
      </c>
      <c r="F23" t="s">
        <v>40</v>
      </c>
      <c r="G23" s="154"/>
      <c r="I23" s="154">
        <v>3594.68</v>
      </c>
      <c r="J23">
        <v>0</v>
      </c>
      <c r="K23" s="154">
        <v>3594.68</v>
      </c>
      <c r="L23" s="154">
        <v>5738.64</v>
      </c>
      <c r="M23" s="155">
        <v>0.3851</v>
      </c>
    </row>
    <row r="24" spans="2:13" ht="12">
      <c r="B24" t="s">
        <v>155</v>
      </c>
      <c r="C24" t="s">
        <v>92</v>
      </c>
      <c r="E24">
        <v>5</v>
      </c>
      <c r="F24" t="s">
        <v>63</v>
      </c>
      <c r="G24" s="154"/>
      <c r="I24" s="154">
        <v>2416.6</v>
      </c>
      <c r="J24">
        <v>0</v>
      </c>
      <c r="K24" s="154">
        <v>2416.6</v>
      </c>
      <c r="L24" s="154">
        <v>6916.72</v>
      </c>
      <c r="M24" s="155">
        <v>0.2589</v>
      </c>
    </row>
    <row r="25" spans="2:13" ht="12">
      <c r="B25" t="s">
        <v>155</v>
      </c>
      <c r="C25" t="s">
        <v>132</v>
      </c>
      <c r="E25">
        <v>5</v>
      </c>
      <c r="F25" t="s">
        <v>157</v>
      </c>
      <c r="G25" s="154"/>
      <c r="I25" s="154">
        <v>2262</v>
      </c>
      <c r="J25">
        <v>0</v>
      </c>
      <c r="K25" s="154">
        <v>2262</v>
      </c>
      <c r="L25" s="154">
        <v>6698</v>
      </c>
      <c r="M25" s="155">
        <v>0.2525</v>
      </c>
    </row>
    <row r="26" spans="2:13" ht="12">
      <c r="B26" t="s">
        <v>155</v>
      </c>
      <c r="C26" t="s">
        <v>93</v>
      </c>
      <c r="E26">
        <v>5</v>
      </c>
      <c r="F26" t="s">
        <v>62</v>
      </c>
      <c r="G26" s="154"/>
      <c r="I26" s="154">
        <v>1926.61</v>
      </c>
      <c r="J26">
        <v>0</v>
      </c>
      <c r="K26" s="154">
        <v>1926.61</v>
      </c>
      <c r="L26" s="154">
        <v>13006.71</v>
      </c>
      <c r="M26" s="155">
        <v>0.129</v>
      </c>
    </row>
    <row r="27" spans="7:13" s="153" customFormat="1" ht="13.5">
      <c r="G27" s="156"/>
      <c r="I27" s="156">
        <f>SUM(I22:I26)</f>
        <v>15663.61</v>
      </c>
      <c r="J27" s="156">
        <f>SUM(J22:J26)</f>
        <v>0</v>
      </c>
      <c r="K27" s="156">
        <f>SUM(K22:K26)</f>
        <v>15663.61</v>
      </c>
      <c r="L27" s="156">
        <f>SUM(L22:L26)</f>
        <v>38842.990000000005</v>
      </c>
      <c r="M27" s="157"/>
    </row>
    <row r="28" spans="2:13" ht="12">
      <c r="B28" t="s">
        <v>155</v>
      </c>
      <c r="C28" t="s">
        <v>97</v>
      </c>
      <c r="E28">
        <v>5</v>
      </c>
      <c r="F28" t="s">
        <v>45</v>
      </c>
      <c r="G28" s="154"/>
      <c r="I28" s="154">
        <v>2428.2</v>
      </c>
      <c r="J28">
        <v>432.78</v>
      </c>
      <c r="K28" s="154">
        <v>2860.98</v>
      </c>
      <c r="L28" s="154">
        <v>4605.7</v>
      </c>
      <c r="M28" s="155">
        <v>0.3832</v>
      </c>
    </row>
    <row r="29" spans="2:13" ht="12">
      <c r="B29" t="s">
        <v>155</v>
      </c>
      <c r="C29" t="s">
        <v>94</v>
      </c>
      <c r="E29">
        <v>5</v>
      </c>
      <c r="F29" t="s">
        <v>158</v>
      </c>
      <c r="G29" s="154"/>
      <c r="I29" s="154">
        <v>3493.95</v>
      </c>
      <c r="J29">
        <v>0</v>
      </c>
      <c r="K29" s="154">
        <v>3493.95</v>
      </c>
      <c r="L29" s="154">
        <v>3972.73</v>
      </c>
      <c r="M29" s="155">
        <v>0.4679</v>
      </c>
    </row>
    <row r="30" spans="2:13" ht="12">
      <c r="B30" t="s">
        <v>155</v>
      </c>
      <c r="C30" t="s">
        <v>95</v>
      </c>
      <c r="E30">
        <v>5</v>
      </c>
      <c r="F30" t="s">
        <v>43</v>
      </c>
      <c r="G30" s="154"/>
      <c r="I30" s="154">
        <v>5048.11</v>
      </c>
      <c r="J30">
        <v>337.18</v>
      </c>
      <c r="K30" s="154">
        <v>5385.29</v>
      </c>
      <c r="L30" s="154">
        <v>-1651.97</v>
      </c>
      <c r="M30" s="155">
        <v>1.4425</v>
      </c>
    </row>
    <row r="31" spans="2:13" ht="12">
      <c r="B31" t="s">
        <v>155</v>
      </c>
      <c r="C31" t="s">
        <v>133</v>
      </c>
      <c r="E31">
        <v>5</v>
      </c>
      <c r="F31" t="s">
        <v>159</v>
      </c>
      <c r="G31" s="154"/>
      <c r="I31">
        <v>0</v>
      </c>
      <c r="J31">
        <v>0</v>
      </c>
      <c r="K31">
        <v>0</v>
      </c>
      <c r="L31" s="154">
        <v>1600</v>
      </c>
      <c r="M31" s="155">
        <v>0</v>
      </c>
    </row>
    <row r="32" spans="2:13" ht="12">
      <c r="B32" t="s">
        <v>155</v>
      </c>
      <c r="C32" t="s">
        <v>96</v>
      </c>
      <c r="E32">
        <v>5</v>
      </c>
      <c r="F32" t="s">
        <v>44</v>
      </c>
      <c r="G32" s="154"/>
      <c r="I32">
        <v>62.71</v>
      </c>
      <c r="J32">
        <v>290</v>
      </c>
      <c r="K32">
        <v>352.71</v>
      </c>
      <c r="L32" s="154">
        <v>1513.97</v>
      </c>
      <c r="M32" s="155">
        <v>0.189</v>
      </c>
    </row>
    <row r="33" spans="2:13" ht="12">
      <c r="B33" t="s">
        <v>155</v>
      </c>
      <c r="C33" t="s">
        <v>98</v>
      </c>
      <c r="E33">
        <v>5</v>
      </c>
      <c r="F33" t="s">
        <v>160</v>
      </c>
      <c r="G33" s="154"/>
      <c r="I33" s="154">
        <v>1107.9</v>
      </c>
      <c r="J33">
        <v>0</v>
      </c>
      <c r="K33" s="154">
        <v>1107.9</v>
      </c>
      <c r="L33">
        <v>492.1</v>
      </c>
      <c r="M33" s="155">
        <v>0.6924</v>
      </c>
    </row>
    <row r="34" spans="7:13" s="153" customFormat="1" ht="13.5">
      <c r="G34" s="156"/>
      <c r="I34" s="156">
        <f>SUM(I28:I33)</f>
        <v>12140.869999999997</v>
      </c>
      <c r="J34" s="156">
        <f>SUM(J28:J33)</f>
        <v>1059.96</v>
      </c>
      <c r="K34" s="156">
        <f>SUM(K28:K33)</f>
        <v>13200.83</v>
      </c>
      <c r="L34" s="156">
        <f>SUM(L28:L33)</f>
        <v>10532.529999999999</v>
      </c>
      <c r="M34" s="157"/>
    </row>
    <row r="35" spans="2:13" ht="12">
      <c r="B35" t="s">
        <v>155</v>
      </c>
      <c r="C35" t="s">
        <v>99</v>
      </c>
      <c r="E35">
        <v>5</v>
      </c>
      <c r="F35" t="s">
        <v>161</v>
      </c>
      <c r="G35" s="154"/>
      <c r="I35" s="154">
        <v>22320</v>
      </c>
      <c r="J35" s="154">
        <v>8730</v>
      </c>
      <c r="K35" s="154">
        <v>31050</v>
      </c>
      <c r="L35" s="154">
        <v>-1716.68</v>
      </c>
      <c r="M35" s="155">
        <v>1.0585</v>
      </c>
    </row>
    <row r="36" spans="2:13" ht="12">
      <c r="B36" t="s">
        <v>155</v>
      </c>
      <c r="C36" t="s">
        <v>100</v>
      </c>
      <c r="E36">
        <v>5</v>
      </c>
      <c r="F36" t="s">
        <v>68</v>
      </c>
      <c r="G36" s="154"/>
      <c r="I36" s="154">
        <v>11160</v>
      </c>
      <c r="J36" s="154">
        <v>4365</v>
      </c>
      <c r="K36" s="154">
        <v>15525</v>
      </c>
      <c r="L36">
        <v>-858.32</v>
      </c>
      <c r="M36" s="155">
        <v>1.0585</v>
      </c>
    </row>
    <row r="37" spans="2:13" ht="12">
      <c r="B37" t="s">
        <v>155</v>
      </c>
      <c r="C37" t="s">
        <v>101</v>
      </c>
      <c r="E37">
        <v>5</v>
      </c>
      <c r="F37" t="s">
        <v>74</v>
      </c>
      <c r="G37" s="154"/>
      <c r="I37" s="154">
        <v>13640</v>
      </c>
      <c r="J37" s="154">
        <v>5335</v>
      </c>
      <c r="K37" s="154">
        <v>18975</v>
      </c>
      <c r="L37" s="154">
        <v>-1375</v>
      </c>
      <c r="M37" s="155">
        <v>1.0781</v>
      </c>
    </row>
    <row r="38" spans="2:13" ht="12">
      <c r="B38" t="s">
        <v>155</v>
      </c>
      <c r="C38" t="s">
        <v>102</v>
      </c>
      <c r="E38">
        <v>5</v>
      </c>
      <c r="F38" t="s">
        <v>162</v>
      </c>
      <c r="G38" s="154"/>
      <c r="I38" s="154">
        <v>3100</v>
      </c>
      <c r="J38" s="154">
        <v>1212.5</v>
      </c>
      <c r="K38" s="154">
        <v>4312.5</v>
      </c>
      <c r="L38">
        <v>-645.82</v>
      </c>
      <c r="M38" s="155">
        <v>1.1761</v>
      </c>
    </row>
    <row r="39" spans="2:13" ht="12">
      <c r="B39" t="s">
        <v>155</v>
      </c>
      <c r="C39" t="s">
        <v>103</v>
      </c>
      <c r="E39">
        <v>5</v>
      </c>
      <c r="F39" t="s">
        <v>163</v>
      </c>
      <c r="G39" s="154"/>
      <c r="I39" s="154">
        <v>2480</v>
      </c>
      <c r="J39">
        <v>970</v>
      </c>
      <c r="K39" s="154">
        <v>3450</v>
      </c>
      <c r="L39">
        <v>-516.68</v>
      </c>
      <c r="M39" s="155">
        <v>1.1761</v>
      </c>
    </row>
    <row r="40" spans="2:13" ht="12">
      <c r="B40" t="s">
        <v>155</v>
      </c>
      <c r="C40" t="s">
        <v>104</v>
      </c>
      <c r="E40">
        <v>5</v>
      </c>
      <c r="F40" t="s">
        <v>164</v>
      </c>
      <c r="G40" s="154"/>
      <c r="I40" s="154">
        <v>14115.41</v>
      </c>
      <c r="J40">
        <v>0</v>
      </c>
      <c r="K40" s="154">
        <v>14115.41</v>
      </c>
      <c r="L40" s="154">
        <v>-8782.09</v>
      </c>
      <c r="M40" s="155">
        <v>2.6466</v>
      </c>
    </row>
    <row r="41" spans="2:13" ht="12">
      <c r="B41" t="s">
        <v>155</v>
      </c>
      <c r="C41" t="s">
        <v>105</v>
      </c>
      <c r="E41">
        <v>5</v>
      </c>
      <c r="F41" t="s">
        <v>165</v>
      </c>
      <c r="G41" s="154"/>
      <c r="I41">
        <v>620</v>
      </c>
      <c r="J41">
        <v>242.5</v>
      </c>
      <c r="K41">
        <v>862.5</v>
      </c>
      <c r="L41">
        <v>177.5</v>
      </c>
      <c r="M41" s="155">
        <v>0.8293</v>
      </c>
    </row>
    <row r="42" spans="2:13" ht="12">
      <c r="B42" t="s">
        <v>155</v>
      </c>
      <c r="C42" t="s">
        <v>106</v>
      </c>
      <c r="E42">
        <v>5</v>
      </c>
      <c r="F42" t="s">
        <v>166</v>
      </c>
      <c r="G42" s="154"/>
      <c r="I42" s="154">
        <v>1860</v>
      </c>
      <c r="J42">
        <v>727.5</v>
      </c>
      <c r="K42" s="154">
        <v>2587.5</v>
      </c>
      <c r="L42">
        <v>79.18</v>
      </c>
      <c r="M42" s="155">
        <v>0.9703</v>
      </c>
    </row>
    <row r="43" spans="2:13" ht="12">
      <c r="B43" t="s">
        <v>155</v>
      </c>
      <c r="C43" t="s">
        <v>107</v>
      </c>
      <c r="E43">
        <v>5</v>
      </c>
      <c r="F43" t="s">
        <v>167</v>
      </c>
      <c r="I43">
        <v>620</v>
      </c>
      <c r="J43">
        <v>242.5</v>
      </c>
      <c r="K43">
        <v>862.5</v>
      </c>
      <c r="L43">
        <v>97.5</v>
      </c>
      <c r="M43" s="155">
        <v>0.8984</v>
      </c>
    </row>
    <row r="44" spans="2:13" ht="12">
      <c r="B44" t="s">
        <v>155</v>
      </c>
      <c r="C44" t="s">
        <v>108</v>
      </c>
      <c r="E44">
        <v>5</v>
      </c>
      <c r="F44" t="s">
        <v>79</v>
      </c>
      <c r="G44" s="154"/>
      <c r="I44">
        <v>0</v>
      </c>
      <c r="J44">
        <v>82.74</v>
      </c>
      <c r="K44">
        <v>82.74</v>
      </c>
      <c r="L44" s="154">
        <v>2583.94</v>
      </c>
      <c r="M44" s="155">
        <v>0.031</v>
      </c>
    </row>
    <row r="45" spans="2:13" ht="12">
      <c r="B45" t="s">
        <v>155</v>
      </c>
      <c r="C45" t="s">
        <v>109</v>
      </c>
      <c r="E45">
        <v>5</v>
      </c>
      <c r="F45" t="s">
        <v>80</v>
      </c>
      <c r="G45" s="154"/>
      <c r="I45">
        <v>0</v>
      </c>
      <c r="J45">
        <v>40.92</v>
      </c>
      <c r="K45">
        <v>40.92</v>
      </c>
      <c r="L45" s="154">
        <v>1292.4</v>
      </c>
      <c r="M45" s="155">
        <v>0.0307</v>
      </c>
    </row>
    <row r="46" spans="2:13" ht="12">
      <c r="B46" t="s">
        <v>155</v>
      </c>
      <c r="C46" t="s">
        <v>110</v>
      </c>
      <c r="E46">
        <v>5</v>
      </c>
      <c r="F46" t="s">
        <v>81</v>
      </c>
      <c r="G46" s="154"/>
      <c r="I46">
        <v>0</v>
      </c>
      <c r="J46">
        <v>65.85</v>
      </c>
      <c r="K46">
        <v>65.85</v>
      </c>
      <c r="L46" s="154">
        <v>2067.47</v>
      </c>
      <c r="M46" s="155">
        <v>0.0309</v>
      </c>
    </row>
    <row r="47" spans="2:13" ht="12">
      <c r="B47" t="s">
        <v>155</v>
      </c>
      <c r="C47" t="s">
        <v>111</v>
      </c>
      <c r="E47">
        <v>5</v>
      </c>
      <c r="F47" t="s">
        <v>168</v>
      </c>
      <c r="I47">
        <v>0</v>
      </c>
      <c r="J47">
        <v>23.13</v>
      </c>
      <c r="K47">
        <v>23.13</v>
      </c>
      <c r="L47">
        <v>723.55</v>
      </c>
      <c r="M47" s="155">
        <v>0.031</v>
      </c>
    </row>
    <row r="48" spans="2:13" ht="12">
      <c r="B48" t="s">
        <v>155</v>
      </c>
      <c r="C48" t="s">
        <v>112</v>
      </c>
      <c r="E48">
        <v>5</v>
      </c>
      <c r="F48" t="s">
        <v>83</v>
      </c>
      <c r="I48">
        <v>0</v>
      </c>
      <c r="J48">
        <v>2.67</v>
      </c>
      <c r="K48">
        <v>2.67</v>
      </c>
      <c r="L48">
        <v>80.01</v>
      </c>
      <c r="M48" s="155">
        <v>0.0323</v>
      </c>
    </row>
    <row r="49" spans="2:13" ht="12">
      <c r="B49" t="s">
        <v>155</v>
      </c>
      <c r="C49" t="s">
        <v>113</v>
      </c>
      <c r="E49">
        <v>5</v>
      </c>
      <c r="F49" t="s">
        <v>84</v>
      </c>
      <c r="I49">
        <v>0</v>
      </c>
      <c r="J49">
        <v>13.35</v>
      </c>
      <c r="K49">
        <v>13.35</v>
      </c>
      <c r="L49">
        <v>413.33</v>
      </c>
      <c r="M49" s="155">
        <v>0.0313</v>
      </c>
    </row>
    <row r="50" spans="2:13" ht="12">
      <c r="B50" t="s">
        <v>155</v>
      </c>
      <c r="C50" t="s">
        <v>114</v>
      </c>
      <c r="E50">
        <v>5</v>
      </c>
      <c r="F50" t="s">
        <v>169</v>
      </c>
      <c r="G50" s="154"/>
      <c r="I50">
        <v>0</v>
      </c>
      <c r="J50">
        <v>661.02</v>
      </c>
      <c r="K50">
        <v>661.02</v>
      </c>
      <c r="L50" s="154">
        <v>20672.3</v>
      </c>
      <c r="M50" s="155">
        <v>0.031</v>
      </c>
    </row>
    <row r="51" spans="2:13" ht="12">
      <c r="B51" t="s">
        <v>155</v>
      </c>
      <c r="C51" t="s">
        <v>115</v>
      </c>
      <c r="E51">
        <v>5</v>
      </c>
      <c r="F51" t="s">
        <v>170</v>
      </c>
      <c r="G51" s="154"/>
      <c r="I51" s="154">
        <v>4199.49</v>
      </c>
      <c r="J51">
        <v>0</v>
      </c>
      <c r="K51" s="154">
        <v>4199.49</v>
      </c>
      <c r="L51" s="154">
        <v>1133.83</v>
      </c>
      <c r="M51" s="155">
        <v>0.7874</v>
      </c>
    </row>
    <row r="52" spans="2:13" ht="12">
      <c r="B52" t="s">
        <v>155</v>
      </c>
      <c r="C52" t="s">
        <v>116</v>
      </c>
      <c r="E52">
        <v>5</v>
      </c>
      <c r="F52" t="s">
        <v>171</v>
      </c>
      <c r="G52" s="154"/>
      <c r="I52" s="154">
        <v>7000</v>
      </c>
      <c r="J52">
        <v>0</v>
      </c>
      <c r="K52" s="154">
        <v>7000</v>
      </c>
      <c r="L52" s="154">
        <v>4200</v>
      </c>
      <c r="M52" s="155">
        <v>0.625</v>
      </c>
    </row>
    <row r="53" spans="2:13" ht="12">
      <c r="B53" t="s">
        <v>155</v>
      </c>
      <c r="C53" t="s">
        <v>117</v>
      </c>
      <c r="E53">
        <v>5</v>
      </c>
      <c r="F53" t="s">
        <v>172</v>
      </c>
      <c r="G53" s="154"/>
      <c r="I53">
        <v>0</v>
      </c>
      <c r="J53" s="154">
        <v>9000</v>
      </c>
      <c r="K53" s="154">
        <v>9000</v>
      </c>
      <c r="L53" s="154">
        <v>5933.32</v>
      </c>
      <c r="M53" s="155">
        <v>0.6027</v>
      </c>
    </row>
    <row r="54" spans="2:13" ht="12">
      <c r="B54" t="s">
        <v>155</v>
      </c>
      <c r="C54" t="s">
        <v>118</v>
      </c>
      <c r="E54">
        <v>5</v>
      </c>
      <c r="F54" t="s">
        <v>173</v>
      </c>
      <c r="G54" s="154"/>
      <c r="I54" s="154">
        <v>3960.93</v>
      </c>
      <c r="J54">
        <v>126.09</v>
      </c>
      <c r="K54" s="154">
        <v>4087.02</v>
      </c>
      <c r="L54" s="154">
        <v>1886.3</v>
      </c>
      <c r="M54" s="155">
        <v>0.6842</v>
      </c>
    </row>
    <row r="55" spans="2:13" ht="12">
      <c r="B55" t="s">
        <v>155</v>
      </c>
      <c r="C55" t="s">
        <v>119</v>
      </c>
      <c r="E55">
        <v>5</v>
      </c>
      <c r="F55" t="s">
        <v>174</v>
      </c>
      <c r="G55" s="154"/>
      <c r="I55">
        <v>0</v>
      </c>
      <c r="J55">
        <v>0</v>
      </c>
      <c r="K55">
        <v>0</v>
      </c>
      <c r="L55" s="154">
        <v>4000</v>
      </c>
      <c r="M55" s="155">
        <v>0</v>
      </c>
    </row>
    <row r="56" spans="2:13" ht="12">
      <c r="B56" t="s">
        <v>155</v>
      </c>
      <c r="C56" t="s">
        <v>120</v>
      </c>
      <c r="E56">
        <v>5</v>
      </c>
      <c r="F56" t="s">
        <v>175</v>
      </c>
      <c r="G56" s="154"/>
      <c r="I56">
        <v>160</v>
      </c>
      <c r="J56">
        <v>0</v>
      </c>
      <c r="K56">
        <v>160</v>
      </c>
      <c r="L56">
        <v>960</v>
      </c>
      <c r="M56" s="155">
        <v>0.1429</v>
      </c>
    </row>
    <row r="57" spans="2:13" ht="12">
      <c r="B57" t="s">
        <v>155</v>
      </c>
      <c r="C57" t="s">
        <v>121</v>
      </c>
      <c r="E57">
        <v>5</v>
      </c>
      <c r="F57" t="s">
        <v>176</v>
      </c>
      <c r="G57" s="154"/>
      <c r="I57">
        <v>0</v>
      </c>
      <c r="J57">
        <v>0</v>
      </c>
      <c r="K57">
        <v>0</v>
      </c>
      <c r="L57" s="154">
        <v>2666.68</v>
      </c>
      <c r="M57" s="155">
        <v>0</v>
      </c>
    </row>
    <row r="58" spans="2:13" ht="12">
      <c r="B58" t="s">
        <v>155</v>
      </c>
      <c r="C58" t="s">
        <v>122</v>
      </c>
      <c r="E58">
        <v>5</v>
      </c>
      <c r="F58" t="s">
        <v>177</v>
      </c>
      <c r="G58" s="154"/>
      <c r="I58">
        <v>0</v>
      </c>
      <c r="J58">
        <v>0</v>
      </c>
      <c r="K58">
        <v>0</v>
      </c>
      <c r="L58" s="154">
        <v>2240</v>
      </c>
      <c r="M58" s="155">
        <v>0</v>
      </c>
    </row>
    <row r="59" spans="2:13" ht="12">
      <c r="B59" t="s">
        <v>155</v>
      </c>
      <c r="C59" t="s">
        <v>123</v>
      </c>
      <c r="E59">
        <v>5</v>
      </c>
      <c r="F59" t="s">
        <v>178</v>
      </c>
      <c r="I59">
        <v>0</v>
      </c>
      <c r="J59">
        <v>0</v>
      </c>
      <c r="K59">
        <v>0</v>
      </c>
      <c r="L59">
        <v>480</v>
      </c>
      <c r="M59" s="155">
        <v>0</v>
      </c>
    </row>
    <row r="60" spans="2:13" ht="12">
      <c r="B60" t="s">
        <v>155</v>
      </c>
      <c r="C60" t="s">
        <v>124</v>
      </c>
      <c r="E60">
        <v>5</v>
      </c>
      <c r="F60" t="s">
        <v>179</v>
      </c>
      <c r="G60" s="154"/>
      <c r="I60">
        <v>0</v>
      </c>
      <c r="J60">
        <v>0</v>
      </c>
      <c r="K60">
        <v>0</v>
      </c>
      <c r="L60" s="154">
        <v>5333.32</v>
      </c>
      <c r="M60" s="155">
        <v>0</v>
      </c>
    </row>
    <row r="61" spans="2:13" ht="12">
      <c r="B61" t="s">
        <v>155</v>
      </c>
      <c r="C61" t="s">
        <v>125</v>
      </c>
      <c r="E61">
        <v>5</v>
      </c>
      <c r="F61" t="s">
        <v>180</v>
      </c>
      <c r="G61" s="154"/>
      <c r="I61">
        <v>0</v>
      </c>
      <c r="J61">
        <v>0</v>
      </c>
      <c r="K61">
        <v>0</v>
      </c>
      <c r="L61" s="154">
        <v>6666.68</v>
      </c>
      <c r="M61" s="155">
        <v>0</v>
      </c>
    </row>
    <row r="62" spans="2:13" ht="12">
      <c r="B62" t="s">
        <v>155</v>
      </c>
      <c r="C62" t="s">
        <v>126</v>
      </c>
      <c r="E62">
        <v>5</v>
      </c>
      <c r="F62" t="s">
        <v>181</v>
      </c>
      <c r="G62" s="154"/>
      <c r="I62" s="213">
        <v>1860</v>
      </c>
      <c r="J62">
        <v>727.5</v>
      </c>
      <c r="K62" s="154">
        <v>2587.5</v>
      </c>
      <c r="L62">
        <v>79.18</v>
      </c>
      <c r="M62" s="155">
        <v>0.9703</v>
      </c>
    </row>
    <row r="63" spans="2:13" ht="12">
      <c r="B63" t="s">
        <v>155</v>
      </c>
      <c r="C63" t="s">
        <v>127</v>
      </c>
      <c r="E63">
        <v>5</v>
      </c>
      <c r="F63" t="s">
        <v>182</v>
      </c>
      <c r="G63" s="154"/>
      <c r="I63" s="213">
        <v>4340</v>
      </c>
      <c r="J63" s="154">
        <v>1697.5</v>
      </c>
      <c r="K63" s="154">
        <v>6037.5</v>
      </c>
      <c r="L63">
        <v>-704.18</v>
      </c>
      <c r="M63" s="155">
        <v>1.132</v>
      </c>
    </row>
    <row r="64" spans="2:13" ht="12">
      <c r="B64" t="s">
        <v>155</v>
      </c>
      <c r="C64" t="s">
        <v>128</v>
      </c>
      <c r="E64">
        <v>5</v>
      </c>
      <c r="F64" t="s">
        <v>183</v>
      </c>
      <c r="G64" s="154"/>
      <c r="I64">
        <v>0</v>
      </c>
      <c r="J64">
        <v>0</v>
      </c>
      <c r="K64">
        <v>0</v>
      </c>
      <c r="L64" s="154">
        <v>26666.68</v>
      </c>
      <c r="M64" s="155">
        <v>0</v>
      </c>
    </row>
    <row r="65" spans="2:13" ht="12">
      <c r="B65" t="s">
        <v>155</v>
      </c>
      <c r="C65" t="s">
        <v>129</v>
      </c>
      <c r="E65">
        <v>5</v>
      </c>
      <c r="F65" t="s">
        <v>184</v>
      </c>
      <c r="G65" s="154"/>
      <c r="I65">
        <v>0</v>
      </c>
      <c r="J65">
        <v>0</v>
      </c>
      <c r="K65">
        <v>0</v>
      </c>
      <c r="L65" s="154">
        <v>3733.32</v>
      </c>
      <c r="M65" s="155">
        <v>0</v>
      </c>
    </row>
    <row r="66" spans="2:13" ht="12">
      <c r="B66" t="s">
        <v>155</v>
      </c>
      <c r="C66" t="s">
        <v>130</v>
      </c>
      <c r="E66">
        <v>5</v>
      </c>
      <c r="F66" t="s">
        <v>185</v>
      </c>
      <c r="G66" s="154"/>
      <c r="I66">
        <v>0</v>
      </c>
      <c r="J66">
        <v>0</v>
      </c>
      <c r="K66">
        <v>0</v>
      </c>
      <c r="L66" s="154">
        <v>5333.32</v>
      </c>
      <c r="M66" s="155">
        <v>0</v>
      </c>
    </row>
    <row r="67" spans="2:13" ht="12">
      <c r="B67" t="s">
        <v>155</v>
      </c>
      <c r="C67" t="s">
        <v>131</v>
      </c>
      <c r="E67">
        <v>5</v>
      </c>
      <c r="F67" t="s">
        <v>186</v>
      </c>
      <c r="G67" s="154"/>
      <c r="I67">
        <v>0</v>
      </c>
      <c r="J67">
        <v>0</v>
      </c>
      <c r="K67">
        <v>0</v>
      </c>
      <c r="L67" s="154">
        <v>1333.32</v>
      </c>
      <c r="M67" s="155">
        <v>0</v>
      </c>
    </row>
    <row r="68" spans="7:13" s="153" customFormat="1" ht="13.5">
      <c r="G68" s="156"/>
      <c r="I68" s="156">
        <f>SUM(I35:I67)</f>
        <v>91435.83</v>
      </c>
      <c r="J68" s="156">
        <f>SUM(J35:J67)</f>
        <v>34265.77</v>
      </c>
      <c r="K68" s="156">
        <f>SUM(K35:K67)</f>
        <v>125701.60000000003</v>
      </c>
      <c r="L68" s="156">
        <f>SUM(L35:L67)</f>
        <v>86234.36000000002</v>
      </c>
      <c r="M68" s="157"/>
    </row>
    <row r="69" spans="7:13" s="153" customFormat="1" ht="13.5">
      <c r="G69" s="156"/>
      <c r="I69" s="156"/>
      <c r="J69" s="156"/>
      <c r="K69" s="156"/>
      <c r="L69" s="156"/>
      <c r="M69" s="157"/>
    </row>
    <row r="70" spans="6:13" ht="12">
      <c r="F70" t="s">
        <v>187</v>
      </c>
      <c r="G70" s="154"/>
      <c r="H70" s="154"/>
      <c r="I70" s="154">
        <f>I68+I34+I27+I21</f>
        <v>191298.69</v>
      </c>
      <c r="J70" s="154">
        <v>35325.73</v>
      </c>
      <c r="K70" s="154">
        <v>236955.72</v>
      </c>
      <c r="L70" s="154">
        <v>152512.08</v>
      </c>
      <c r="M70" s="155">
        <v>0.6084</v>
      </c>
    </row>
    <row r="71" spans="6:13" ht="12">
      <c r="F71" t="s">
        <v>188</v>
      </c>
      <c r="G71" s="154"/>
      <c r="I71" s="154">
        <f>I70*7%</f>
        <v>13390.908300000001</v>
      </c>
      <c r="J71">
        <v>0</v>
      </c>
      <c r="K71" s="154">
        <v>10331.3</v>
      </c>
      <c r="L71" s="154">
        <v>15147.9</v>
      </c>
      <c r="M71" s="155">
        <v>0.4055</v>
      </c>
    </row>
    <row r="72" spans="6:13" ht="12">
      <c r="F72" t="s">
        <v>189</v>
      </c>
      <c r="G72" s="154"/>
      <c r="H72" s="154"/>
      <c r="I72" s="154">
        <f>SUM(I70:I71)</f>
        <v>204689.5983</v>
      </c>
      <c r="J72" s="154">
        <v>35325.73</v>
      </c>
      <c r="K72" s="154">
        <v>236955.72</v>
      </c>
      <c r="L72" s="154">
        <v>152512.08</v>
      </c>
      <c r="M72" s="155">
        <v>0.6084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fhernandez</dc:creator>
  <cp:keywords/>
  <dc:description/>
  <cp:lastModifiedBy>Alexander Berger</cp:lastModifiedBy>
  <cp:lastPrinted>2014-08-19T12:43:29Z</cp:lastPrinted>
  <dcterms:created xsi:type="dcterms:W3CDTF">2011-01-14T09:25:58Z</dcterms:created>
  <dcterms:modified xsi:type="dcterms:W3CDTF">2014-12-10T22:46:59Z</dcterms:modified>
  <cp:category/>
  <cp:version/>
  <cp:contentType/>
  <cp:contentStatus/>
</cp:coreProperties>
</file>